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517B034-510D-4D94-A27E-512D7A339A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laryCheckHome" sheetId="1" r:id="rId1"/>
    <sheet name="FORMULA" sheetId="10" state="hidden" r:id="rId2"/>
    <sheet name="Sheet1" sheetId="5" state="hidden" r:id="rId3"/>
    <sheet name="Sheet2" sheetId="4" state="hidden" r:id="rId4"/>
    <sheet name="Sheet3" sheetId="6" state="hidden" r:id="rId5"/>
    <sheet name="Sheet4" sheetId="7" state="hidden" r:id="rId6"/>
    <sheet name="Sheet5" sheetId="9" state="hidden" r:id="rId7"/>
  </sheets>
  <definedNames>
    <definedName name="Degree">SalaryCheckHome!$E$16:$E$19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9" l="1"/>
  <c r="K44" i="4"/>
  <c r="K44" i="6"/>
  <c r="K44" i="7"/>
  <c r="K23" i="7"/>
  <c r="K23" i="6"/>
  <c r="K23" i="4"/>
  <c r="K23" i="5"/>
  <c r="K44" i="5" s="1"/>
  <c r="F13" i="9"/>
  <c r="E13" i="9"/>
  <c r="D13" i="9"/>
  <c r="C13" i="9"/>
  <c r="F9" i="9"/>
  <c r="F30" i="9" s="1"/>
  <c r="E9" i="9"/>
  <c r="D9" i="9"/>
  <c r="C9" i="9"/>
  <c r="M8" i="9" s="1"/>
  <c r="F8" i="9"/>
  <c r="E8" i="9"/>
  <c r="D8" i="9"/>
  <c r="C8" i="9"/>
  <c r="C5" i="9" s="1"/>
  <c r="F7" i="9"/>
  <c r="E7" i="9"/>
  <c r="D7" i="9"/>
  <c r="C7" i="9"/>
  <c r="F13" i="7"/>
  <c r="E13" i="7"/>
  <c r="D13" i="7"/>
  <c r="C13" i="7"/>
  <c r="F9" i="7"/>
  <c r="E9" i="7"/>
  <c r="D9" i="7"/>
  <c r="C9" i="7"/>
  <c r="F8" i="7"/>
  <c r="E8" i="7"/>
  <c r="D8" i="7"/>
  <c r="C8" i="7"/>
  <c r="F7" i="7"/>
  <c r="E7" i="7"/>
  <c r="D7" i="7"/>
  <c r="C7" i="7"/>
  <c r="F13" i="6"/>
  <c r="E13" i="6"/>
  <c r="D13" i="6"/>
  <c r="C13" i="6"/>
  <c r="F9" i="6"/>
  <c r="E9" i="6"/>
  <c r="D9" i="6"/>
  <c r="C9" i="6"/>
  <c r="E8" i="6"/>
  <c r="D8" i="6"/>
  <c r="C8" i="6"/>
  <c r="F7" i="6"/>
  <c r="F8" i="6" s="1"/>
  <c r="E7" i="6"/>
  <c r="D7" i="6"/>
  <c r="C7" i="6"/>
  <c r="F13" i="4"/>
  <c r="E13" i="4"/>
  <c r="D13" i="4"/>
  <c r="C13" i="4"/>
  <c r="F9" i="4"/>
  <c r="E9" i="4"/>
  <c r="D9" i="4"/>
  <c r="C9" i="4"/>
  <c r="E8" i="4"/>
  <c r="D8" i="4"/>
  <c r="C8" i="4"/>
  <c r="F7" i="4"/>
  <c r="F8" i="4" s="1"/>
  <c r="E7" i="4"/>
  <c r="D7" i="4"/>
  <c r="C7" i="4"/>
  <c r="F9" i="5"/>
  <c r="E9" i="5"/>
  <c r="F7" i="5"/>
  <c r="E7" i="5"/>
  <c r="F13" i="5"/>
  <c r="E13" i="5"/>
  <c r="D13" i="5"/>
  <c r="D9" i="5"/>
  <c r="D7" i="5"/>
  <c r="C13" i="5"/>
  <c r="C9" i="5"/>
  <c r="C7" i="5"/>
  <c r="F37" i="9"/>
  <c r="E37" i="9"/>
  <c r="D37" i="9"/>
  <c r="C37" i="9"/>
  <c r="F35" i="9"/>
  <c r="E35" i="9"/>
  <c r="D35" i="9"/>
  <c r="C35" i="9"/>
  <c r="P34" i="9"/>
  <c r="O34" i="9"/>
  <c r="M34" i="9"/>
  <c r="F34" i="9"/>
  <c r="E34" i="9"/>
  <c r="D34" i="9"/>
  <c r="N34" i="9" s="1"/>
  <c r="C34" i="9"/>
  <c r="S33" i="9"/>
  <c r="T33" i="9" s="1"/>
  <c r="U33" i="9" s="1"/>
  <c r="V33" i="9" s="1"/>
  <c r="R33" i="9" s="1"/>
  <c r="P33" i="9"/>
  <c r="O33" i="9"/>
  <c r="N33" i="9"/>
  <c r="M33" i="9"/>
  <c r="Q33" i="9" s="1"/>
  <c r="F32" i="9"/>
  <c r="E32" i="9"/>
  <c r="D32" i="9"/>
  <c r="C32" i="9"/>
  <c r="F31" i="9"/>
  <c r="E31" i="9"/>
  <c r="D31" i="9"/>
  <c r="C31" i="9"/>
  <c r="E30" i="9"/>
  <c r="D30" i="9"/>
  <c r="N29" i="9" s="1"/>
  <c r="L29" i="9" s="1"/>
  <c r="C30" i="9"/>
  <c r="P29" i="9"/>
  <c r="O29" i="9"/>
  <c r="M29" i="9"/>
  <c r="P28" i="9"/>
  <c r="O28" i="9"/>
  <c r="M28" i="9"/>
  <c r="F28" i="9"/>
  <c r="E28" i="9"/>
  <c r="D28" i="9"/>
  <c r="N28" i="9" s="1"/>
  <c r="C28" i="9"/>
  <c r="L27" i="9"/>
  <c r="L20" i="9"/>
  <c r="L22" i="9" s="1"/>
  <c r="L17" i="9"/>
  <c r="M17" i="9" s="1"/>
  <c r="L16" i="9"/>
  <c r="L37" i="9" s="1"/>
  <c r="P13" i="9"/>
  <c r="O13" i="9"/>
  <c r="L13" i="9" s="1"/>
  <c r="N13" i="9"/>
  <c r="M13" i="9"/>
  <c r="R12" i="9"/>
  <c r="P12" i="9"/>
  <c r="O12" i="9"/>
  <c r="N12" i="9"/>
  <c r="M12" i="9"/>
  <c r="P10" i="9"/>
  <c r="O10" i="9"/>
  <c r="N10" i="9"/>
  <c r="M10" i="9"/>
  <c r="R9" i="9"/>
  <c r="P9" i="9"/>
  <c r="O9" i="9"/>
  <c r="N9" i="9"/>
  <c r="M9" i="9"/>
  <c r="P8" i="9"/>
  <c r="O8" i="9"/>
  <c r="N8" i="9"/>
  <c r="P7" i="9"/>
  <c r="O7" i="9"/>
  <c r="N7" i="9"/>
  <c r="M7" i="9"/>
  <c r="F45" i="1"/>
  <c r="B35" i="1"/>
  <c r="Q12" i="9" l="1"/>
  <c r="L12" i="9" s="1"/>
  <c r="L28" i="9"/>
  <c r="Q10" i="9"/>
  <c r="L34" i="9"/>
  <c r="Q9" i="9"/>
  <c r="L9" i="9" s="1"/>
  <c r="L30" i="9" s="1"/>
  <c r="L8" i="9"/>
  <c r="L14" i="9"/>
  <c r="L33" i="9"/>
  <c r="L35" i="9"/>
  <c r="L38" i="9"/>
  <c r="L7" i="9"/>
  <c r="F48" i="1"/>
  <c r="F37" i="7"/>
  <c r="E37" i="7"/>
  <c r="D37" i="7"/>
  <c r="C37" i="7"/>
  <c r="F35" i="7"/>
  <c r="E35" i="7"/>
  <c r="D35" i="7"/>
  <c r="C35" i="7"/>
  <c r="M33" i="7" s="1"/>
  <c r="P34" i="7"/>
  <c r="O34" i="7"/>
  <c r="F34" i="7"/>
  <c r="E34" i="7"/>
  <c r="D34" i="7"/>
  <c r="N34" i="7" s="1"/>
  <c r="C34" i="7"/>
  <c r="M34" i="7" s="1"/>
  <c r="S33" i="7"/>
  <c r="P33" i="7"/>
  <c r="O33" i="7"/>
  <c r="N33" i="7"/>
  <c r="F32" i="7"/>
  <c r="E32" i="7"/>
  <c r="D32" i="7"/>
  <c r="C32" i="7"/>
  <c r="F31" i="7"/>
  <c r="E31" i="7"/>
  <c r="D31" i="7"/>
  <c r="C31" i="7"/>
  <c r="F30" i="7"/>
  <c r="E30" i="7"/>
  <c r="D30" i="7"/>
  <c r="C30" i="7"/>
  <c r="M29" i="7" s="1"/>
  <c r="P29" i="7"/>
  <c r="O29" i="7"/>
  <c r="N29" i="7"/>
  <c r="P28" i="7"/>
  <c r="O28" i="7"/>
  <c r="F28" i="7"/>
  <c r="E28" i="7"/>
  <c r="D28" i="7"/>
  <c r="N28" i="7" s="1"/>
  <c r="C28" i="7"/>
  <c r="M28" i="7" s="1"/>
  <c r="L27" i="7"/>
  <c r="L20" i="7"/>
  <c r="L22" i="7" s="1"/>
  <c r="L17" i="7"/>
  <c r="M17" i="7" s="1"/>
  <c r="L16" i="7"/>
  <c r="L37" i="7" s="1"/>
  <c r="P13" i="7"/>
  <c r="O13" i="7"/>
  <c r="N13" i="7"/>
  <c r="M13" i="7"/>
  <c r="R12" i="7"/>
  <c r="P12" i="7"/>
  <c r="O12" i="7"/>
  <c r="N12" i="7"/>
  <c r="M12" i="7"/>
  <c r="P10" i="7"/>
  <c r="O10" i="7"/>
  <c r="N10" i="7"/>
  <c r="M10" i="7"/>
  <c r="R9" i="7"/>
  <c r="P9" i="7"/>
  <c r="O9" i="7"/>
  <c r="N9" i="7"/>
  <c r="M9" i="7"/>
  <c r="P8" i="7"/>
  <c r="O8" i="7"/>
  <c r="N8" i="7"/>
  <c r="M8" i="7"/>
  <c r="C5" i="7"/>
  <c r="P7" i="7"/>
  <c r="O7" i="7"/>
  <c r="N7" i="7"/>
  <c r="M7" i="7"/>
  <c r="L17" i="5"/>
  <c r="M17" i="5" s="1"/>
  <c r="L16" i="5"/>
  <c r="L17" i="4"/>
  <c r="M17" i="4" s="1"/>
  <c r="L16" i="4"/>
  <c r="L16" i="6"/>
  <c r="L17" i="6"/>
  <c r="M17" i="6" s="1"/>
  <c r="R10" i="9" l="1"/>
  <c r="L10" i="9" s="1"/>
  <c r="L31" i="9" s="1"/>
  <c r="L32" i="9" s="1"/>
  <c r="L36" i="9" s="1"/>
  <c r="L39" i="9" s="1"/>
  <c r="Q9" i="7"/>
  <c r="L9" i="7" s="1"/>
  <c r="T33" i="7"/>
  <c r="U33" i="7" s="1"/>
  <c r="Q33" i="7"/>
  <c r="Q12" i="7"/>
  <c r="L12" i="7" s="1"/>
  <c r="L34" i="7"/>
  <c r="L8" i="7"/>
  <c r="L7" i="7"/>
  <c r="L13" i="7"/>
  <c r="Q10" i="7"/>
  <c r="L28" i="7"/>
  <c r="L29" i="7"/>
  <c r="L38" i="7"/>
  <c r="B48" i="1"/>
  <c r="F37" i="6"/>
  <c r="E37" i="6"/>
  <c r="D37" i="6"/>
  <c r="C37" i="6"/>
  <c r="F35" i="6"/>
  <c r="E35" i="6"/>
  <c r="D35" i="6"/>
  <c r="C35" i="6"/>
  <c r="P34" i="6"/>
  <c r="O34" i="6"/>
  <c r="F34" i="6"/>
  <c r="E34" i="6"/>
  <c r="D34" i="6"/>
  <c r="N34" i="6" s="1"/>
  <c r="C34" i="6"/>
  <c r="M34" i="6" s="1"/>
  <c r="S33" i="6"/>
  <c r="P33" i="6"/>
  <c r="O33" i="6"/>
  <c r="N33" i="6"/>
  <c r="M33" i="6"/>
  <c r="F32" i="6"/>
  <c r="E32" i="6"/>
  <c r="D32" i="6"/>
  <c r="C32" i="6"/>
  <c r="F31" i="6"/>
  <c r="E31" i="6"/>
  <c r="D31" i="6"/>
  <c r="C31" i="6"/>
  <c r="F30" i="6"/>
  <c r="E30" i="6"/>
  <c r="D30" i="6"/>
  <c r="N29" i="6" s="1"/>
  <c r="C30" i="6"/>
  <c r="M29" i="6" s="1"/>
  <c r="P29" i="6"/>
  <c r="O29" i="6"/>
  <c r="P28" i="6"/>
  <c r="O28" i="6"/>
  <c r="F28" i="6"/>
  <c r="E28" i="6"/>
  <c r="D28" i="6"/>
  <c r="N28" i="6" s="1"/>
  <c r="C28" i="6"/>
  <c r="M28" i="6" s="1"/>
  <c r="L27" i="6"/>
  <c r="L20" i="6"/>
  <c r="L22" i="6" s="1"/>
  <c r="L38" i="6"/>
  <c r="L37" i="6"/>
  <c r="P13" i="6"/>
  <c r="O13" i="6"/>
  <c r="N13" i="6"/>
  <c r="M13" i="6"/>
  <c r="R12" i="6"/>
  <c r="P12" i="6"/>
  <c r="O12" i="6"/>
  <c r="N12" i="6"/>
  <c r="M12" i="6"/>
  <c r="P10" i="6"/>
  <c r="O10" i="6"/>
  <c r="N10" i="6"/>
  <c r="M10" i="6"/>
  <c r="R9" i="6"/>
  <c r="P9" i="6"/>
  <c r="O9" i="6"/>
  <c r="N9" i="6"/>
  <c r="M9" i="6"/>
  <c r="P8" i="6"/>
  <c r="O8" i="6"/>
  <c r="N8" i="6"/>
  <c r="M8" i="6"/>
  <c r="C5" i="6"/>
  <c r="P7" i="6"/>
  <c r="O7" i="6"/>
  <c r="N7" i="6"/>
  <c r="M7" i="6"/>
  <c r="C5" i="4"/>
  <c r="G31" i="1"/>
  <c r="F37" i="5"/>
  <c r="E37" i="5"/>
  <c r="D37" i="5"/>
  <c r="C37" i="5"/>
  <c r="F35" i="5"/>
  <c r="E35" i="5"/>
  <c r="D35" i="5"/>
  <c r="C35" i="5"/>
  <c r="M33" i="5" s="1"/>
  <c r="P34" i="5"/>
  <c r="O34" i="5"/>
  <c r="M34" i="5"/>
  <c r="F34" i="5"/>
  <c r="E34" i="5"/>
  <c r="D34" i="5"/>
  <c r="N34" i="5" s="1"/>
  <c r="C34" i="5"/>
  <c r="S33" i="5"/>
  <c r="P33" i="5"/>
  <c r="O33" i="5"/>
  <c r="N33" i="5"/>
  <c r="F32" i="5"/>
  <c r="E32" i="5"/>
  <c r="D32" i="5"/>
  <c r="C32" i="5"/>
  <c r="F31" i="5"/>
  <c r="E31" i="5"/>
  <c r="D31" i="5"/>
  <c r="C31" i="5"/>
  <c r="F30" i="5"/>
  <c r="E30" i="5"/>
  <c r="D30" i="5"/>
  <c r="N29" i="5" s="1"/>
  <c r="C30" i="5"/>
  <c r="M29" i="5" s="1"/>
  <c r="P29" i="5"/>
  <c r="O29" i="5"/>
  <c r="P28" i="5"/>
  <c r="O28" i="5"/>
  <c r="F28" i="5"/>
  <c r="E28" i="5"/>
  <c r="D28" i="5"/>
  <c r="N28" i="5" s="1"/>
  <c r="C28" i="5"/>
  <c r="M28" i="5" s="1"/>
  <c r="L27" i="5"/>
  <c r="L20" i="5"/>
  <c r="L22" i="5" s="1"/>
  <c r="L38" i="5"/>
  <c r="L37" i="5"/>
  <c r="P13" i="5"/>
  <c r="O13" i="5"/>
  <c r="N13" i="5"/>
  <c r="M13" i="5"/>
  <c r="R12" i="5"/>
  <c r="P12" i="5"/>
  <c r="O12" i="5"/>
  <c r="N12" i="5"/>
  <c r="M12" i="5"/>
  <c r="P10" i="5"/>
  <c r="O10" i="5"/>
  <c r="N10" i="5"/>
  <c r="M10" i="5"/>
  <c r="R9" i="5"/>
  <c r="P9" i="5"/>
  <c r="O9" i="5"/>
  <c r="N9" i="5"/>
  <c r="M9" i="5"/>
  <c r="P8" i="5"/>
  <c r="O8" i="5"/>
  <c r="N8" i="5"/>
  <c r="M8" i="5"/>
  <c r="F8" i="5"/>
  <c r="E8" i="5"/>
  <c r="D8" i="5"/>
  <c r="C8" i="5"/>
  <c r="C5" i="5" s="1"/>
  <c r="P7" i="5"/>
  <c r="O7" i="5"/>
  <c r="N7" i="5"/>
  <c r="M7" i="5"/>
  <c r="L27" i="4"/>
  <c r="L11" i="9" l="1"/>
  <c r="L15" i="9" s="1"/>
  <c r="L18" i="9" s="1"/>
  <c r="L21" i="9" s="1"/>
  <c r="L23" i="9" s="1"/>
  <c r="V33" i="7"/>
  <c r="R33" i="7" s="1"/>
  <c r="L33" i="7" s="1"/>
  <c r="L35" i="7" s="1"/>
  <c r="L14" i="7"/>
  <c r="L30" i="7"/>
  <c r="R10" i="7"/>
  <c r="L10" i="7" s="1"/>
  <c r="L31" i="7" s="1"/>
  <c r="L32" i="7" s="1"/>
  <c r="Q33" i="6"/>
  <c r="L34" i="6"/>
  <c r="L13" i="6"/>
  <c r="L29" i="6"/>
  <c r="Q12" i="5"/>
  <c r="L12" i="5" s="1"/>
  <c r="L7" i="6"/>
  <c r="Q10" i="6"/>
  <c r="T33" i="5"/>
  <c r="U33" i="5" s="1"/>
  <c r="L34" i="5"/>
  <c r="L28" i="6"/>
  <c r="T33" i="6"/>
  <c r="U33" i="6" s="1"/>
  <c r="Q12" i="6"/>
  <c r="L12" i="6" s="1"/>
  <c r="L8" i="6"/>
  <c r="Q9" i="6"/>
  <c r="L9" i="6" s="1"/>
  <c r="R10" i="6" s="1"/>
  <c r="Q33" i="5"/>
  <c r="Q9" i="5"/>
  <c r="L9" i="5" s="1"/>
  <c r="R10" i="5" s="1"/>
  <c r="L13" i="5"/>
  <c r="L8" i="5"/>
  <c r="Q10" i="5"/>
  <c r="L29" i="5"/>
  <c r="L7" i="5"/>
  <c r="L28" i="5"/>
  <c r="F28" i="4"/>
  <c r="E28" i="4"/>
  <c r="D28" i="4"/>
  <c r="C28" i="4"/>
  <c r="M18" i="9" l="1"/>
  <c r="M23" i="9"/>
  <c r="L44" i="9"/>
  <c r="M44" i="9" s="1"/>
  <c r="V33" i="6"/>
  <c r="R33" i="6" s="1"/>
  <c r="L33" i="6" s="1"/>
  <c r="L35" i="6" s="1"/>
  <c r="V33" i="5"/>
  <c r="G43" i="1" s="1" a="1"/>
  <c r="G43" i="1" s="1"/>
  <c r="L36" i="7"/>
  <c r="L39" i="7" s="1"/>
  <c r="L11" i="7"/>
  <c r="L15" i="7" s="1"/>
  <c r="L18" i="7" s="1"/>
  <c r="L21" i="7" s="1"/>
  <c r="L23" i="7" s="1"/>
  <c r="L14" i="6"/>
  <c r="L14" i="5"/>
  <c r="L10" i="6"/>
  <c r="L31" i="6" s="1"/>
  <c r="L32" i="6" s="1"/>
  <c r="L30" i="5"/>
  <c r="L30" i="6"/>
  <c r="L10" i="5"/>
  <c r="L11" i="5" s="1"/>
  <c r="R12" i="4"/>
  <c r="R33" i="5" l="1"/>
  <c r="L33" i="5" s="1"/>
  <c r="L35" i="5" s="1"/>
  <c r="L36" i="6"/>
  <c r="L39" i="6" s="1"/>
  <c r="M18" i="7"/>
  <c r="M23" i="7"/>
  <c r="L44" i="7"/>
  <c r="M44" i="7" s="1"/>
  <c r="L15" i="5"/>
  <c r="L11" i="6"/>
  <c r="L15" i="6" s="1"/>
  <c r="L31" i="5"/>
  <c r="L32" i="5" s="1"/>
  <c r="G34" i="1"/>
  <c r="S33" i="4"/>
  <c r="T33" i="4" s="1"/>
  <c r="U33" i="4" s="1"/>
  <c r="V33" i="4" s="1"/>
  <c r="P34" i="4"/>
  <c r="O34" i="4"/>
  <c r="P33" i="4"/>
  <c r="O33" i="4"/>
  <c r="M33" i="4"/>
  <c r="P29" i="4"/>
  <c r="O29" i="4"/>
  <c r="P28" i="4"/>
  <c r="O28" i="4"/>
  <c r="M28" i="4"/>
  <c r="C30" i="4"/>
  <c r="M29" i="4" s="1"/>
  <c r="D30" i="4"/>
  <c r="N29" i="4" s="1"/>
  <c r="E30" i="4"/>
  <c r="F30" i="4"/>
  <c r="C31" i="4"/>
  <c r="D31" i="4"/>
  <c r="E31" i="4"/>
  <c r="F31" i="4"/>
  <c r="C32" i="4"/>
  <c r="D32" i="4"/>
  <c r="E32" i="4"/>
  <c r="F32" i="4"/>
  <c r="C34" i="4"/>
  <c r="M34" i="4" s="1"/>
  <c r="D34" i="4"/>
  <c r="N34" i="4" s="1"/>
  <c r="E34" i="4"/>
  <c r="F34" i="4"/>
  <c r="C35" i="4"/>
  <c r="D35" i="4"/>
  <c r="N33" i="4" s="1"/>
  <c r="E35" i="4"/>
  <c r="F35" i="4"/>
  <c r="C37" i="4"/>
  <c r="D37" i="4"/>
  <c r="E37" i="4"/>
  <c r="F37" i="4"/>
  <c r="N28" i="4"/>
  <c r="L20" i="4"/>
  <c r="L22" i="4" s="1"/>
  <c r="P13" i="4"/>
  <c r="O13" i="4"/>
  <c r="N13" i="4"/>
  <c r="M13" i="4"/>
  <c r="P12" i="4"/>
  <c r="O12" i="4"/>
  <c r="N12" i="4"/>
  <c r="M12" i="4"/>
  <c r="P10" i="4"/>
  <c r="O10" i="4"/>
  <c r="N10" i="4"/>
  <c r="M10" i="4"/>
  <c r="P9" i="4"/>
  <c r="O9" i="4"/>
  <c r="N9" i="4"/>
  <c r="M9" i="4"/>
  <c r="P8" i="4"/>
  <c r="O8" i="4"/>
  <c r="N8" i="4"/>
  <c r="M8" i="4"/>
  <c r="P7" i="4"/>
  <c r="O7" i="4"/>
  <c r="N7" i="4"/>
  <c r="M7" i="4"/>
  <c r="G45" i="1"/>
  <c r="C45" i="1"/>
  <c r="C34" i="1"/>
  <c r="L38" i="4"/>
  <c r="L37" i="4"/>
  <c r="R9" i="4"/>
  <c r="L36" i="5" l="1"/>
  <c r="L39" i="5" s="1"/>
  <c r="L18" i="6"/>
  <c r="L21" i="6" s="1"/>
  <c r="L23" i="6" s="1"/>
  <c r="M18" i="6"/>
  <c r="L18" i="5"/>
  <c r="L21" i="5" s="1"/>
  <c r="L23" i="5" s="1"/>
  <c r="C22" i="1" s="1" a="1"/>
  <c r="C22" i="1" s="1"/>
  <c r="M18" i="5"/>
  <c r="R33" i="4"/>
  <c r="Q33" i="4"/>
  <c r="L34" i="4"/>
  <c r="L29" i="4"/>
  <c r="Q10" i="4"/>
  <c r="L8" i="4"/>
  <c r="L13" i="4"/>
  <c r="Q9" i="4"/>
  <c r="L9" i="4" s="1"/>
  <c r="L30" i="4" s="1"/>
  <c r="Q12" i="4"/>
  <c r="L12" i="4" s="1"/>
  <c r="L7" i="4"/>
  <c r="L28" i="4"/>
  <c r="M23" i="5" l="1"/>
  <c r="L44" i="5"/>
  <c r="C48" i="1" s="1" a="1"/>
  <c r="C48" i="1" s="1"/>
  <c r="M23" i="6"/>
  <c r="L44" i="6"/>
  <c r="R10" i="4"/>
  <c r="L10" i="4" s="1"/>
  <c r="L31" i="4" s="1"/>
  <c r="L32" i="4" s="1"/>
  <c r="L14" i="4"/>
  <c r="M44" i="5" l="1"/>
  <c r="M44" i="6"/>
  <c r="L11" i="4"/>
  <c r="L15" i="4" s="1"/>
  <c r="L18" i="4" l="1"/>
  <c r="L21" i="4" s="1"/>
  <c r="L23" i="4" s="1"/>
  <c r="M18" i="4"/>
  <c r="M23" i="4" l="1"/>
  <c r="G22" i="1"/>
  <c r="C31" i="1" l="1"/>
  <c r="L33" i="4"/>
  <c r="L35" i="4" s="1"/>
  <c r="L36" i="4" s="1"/>
  <c r="L39" i="4" s="1"/>
  <c r="L44" i="4" l="1"/>
  <c r="M44" i="4" l="1"/>
  <c r="G4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<sst xmlns="http://schemas.openxmlformats.org/spreadsheetml/2006/main" count="455" uniqueCount="92">
  <si>
    <t>Please input information in every highlighted box.</t>
  </si>
  <si>
    <t>Years of Service at Millard</t>
  </si>
  <si>
    <t>Years of Teaching Experience outside Millard</t>
  </si>
  <si>
    <t>Highest Degree</t>
  </si>
  <si>
    <t>BA</t>
  </si>
  <si>
    <t>MA</t>
  </si>
  <si>
    <t>EDSpec</t>
  </si>
  <si>
    <t>Doc</t>
  </si>
  <si>
    <t>Degree Year of Service Value</t>
  </si>
  <si>
    <t>Maximum</t>
  </si>
  <si>
    <t>Outside Years (subject to Maximum)</t>
  </si>
  <si>
    <t>Total Years (subject to maximum)</t>
  </si>
  <si>
    <t>Years of Service Addition</t>
  </si>
  <si>
    <t>Base</t>
  </si>
  <si>
    <t>Graduate Credit Hours</t>
  </si>
  <si>
    <t>Value of Graduate Credit Hours</t>
  </si>
  <si>
    <t>Graduate Credit Hours Addition</t>
  </si>
  <si>
    <t>Total Formula</t>
  </si>
  <si>
    <t>FTE</t>
  </si>
  <si>
    <t>Extra Days</t>
  </si>
  <si>
    <t>Total Salary</t>
  </si>
  <si>
    <t>(from Employee Access Center)</t>
  </si>
  <si>
    <t>(take Total Years minus years in District)</t>
  </si>
  <si>
    <t>Full Time Equivalency (f.t.e.)</t>
  </si>
  <si>
    <t>(do not include extra duties, or any other extra payments in this box)</t>
  </si>
  <si>
    <t xml:space="preserve">      (if yes, please enter the highlighted fields only)</t>
  </si>
  <si>
    <t>(after accounting for anticipated new hours)</t>
  </si>
  <si>
    <t>If you need to look up your information, click here to visit the Employee Access Center</t>
  </si>
  <si>
    <t>This sheet is intended to assist you in estimating your salary.  For more specific questions or if you suspect an error in this estimate, please e-mail millardhumanresources@mpsomaha.org and we will respond in the order the questions are received.</t>
  </si>
  <si>
    <t>Base Pay</t>
  </si>
  <si>
    <t>Per Year</t>
  </si>
  <si>
    <t>Max. outside years</t>
  </si>
  <si>
    <t>Max total years</t>
  </si>
  <si>
    <t>Per Hour</t>
  </si>
  <si>
    <t>Max Hours</t>
  </si>
  <si>
    <t>Minimum Raise</t>
  </si>
  <si>
    <t>Pay With One Year</t>
  </si>
  <si>
    <t xml:space="preserve">Degree for Salary </t>
  </si>
  <si>
    <t>Hours to be Credited</t>
  </si>
  <si>
    <t>Hours Submitted</t>
  </si>
  <si>
    <t>Total Graduate Credit Hours Submitted for Salary Advancement</t>
  </si>
  <si>
    <t>Additional Graduate Credit Hours Recognized for Salary Advancement Based on Recognized Interval or Existing Grad Hours Recognized for Salary</t>
  </si>
  <si>
    <t>Grad Credit Hours Recognized For Salary</t>
  </si>
  <si>
    <r>
      <t xml:space="preserve">(after accounting for </t>
    </r>
    <r>
      <rPr>
        <u/>
        <sz val="11"/>
        <color theme="1"/>
        <rFont val="Calibri"/>
        <family val="2"/>
        <scheme val="minor"/>
      </rPr>
      <t xml:space="preserve">all </t>
    </r>
    <r>
      <rPr>
        <sz val="11"/>
        <color theme="1"/>
        <rFont val="Calibri"/>
        <family val="2"/>
        <scheme val="minor"/>
      </rPr>
      <t>current and anticipated new hours)</t>
    </r>
  </si>
  <si>
    <t>Max Additional Hours to be Recognized</t>
  </si>
  <si>
    <t>Additional Hours for Salary</t>
  </si>
  <si>
    <t>Total Grad Hours Submitted</t>
  </si>
  <si>
    <t>18-Hour Cap Check (new hours submitted for school year)</t>
  </si>
  <si>
    <t>Max hours recognized for grad hours per school year</t>
  </si>
  <si>
    <t>2022-23</t>
  </si>
  <si>
    <t>Year Hired as Teacher at MPS</t>
  </si>
  <si>
    <t>2021-22 Or Prior</t>
  </si>
  <si>
    <t>2023-24</t>
  </si>
  <si>
    <t>Year Originally Hired as Teacher at MPS</t>
  </si>
  <si>
    <r>
      <t xml:space="preserve">Year Hired as Teacher at MPS </t>
    </r>
    <r>
      <rPr>
        <b/>
        <sz val="11"/>
        <color rgb="FFFF0000"/>
        <rFont val="Calibri"/>
        <family val="2"/>
        <scheme val="minor"/>
      </rPr>
      <t>BEFORE</t>
    </r>
    <r>
      <rPr>
        <sz val="11"/>
        <color theme="1"/>
        <rFont val="Calibri"/>
        <family val="2"/>
        <scheme val="minor"/>
      </rPr>
      <t xml:space="preserve"> 2022-23 School Year (</t>
    </r>
    <r>
      <rPr>
        <b/>
        <sz val="11"/>
        <color rgb="FFFF0000"/>
        <rFont val="Calibri"/>
        <family val="2"/>
        <scheme val="minor"/>
      </rPr>
      <t>LIMIT OUTSIDE YEARS</t>
    </r>
    <r>
      <rPr>
        <sz val="11"/>
        <color theme="1"/>
        <rFont val="Calibri"/>
        <family val="2"/>
        <scheme val="minor"/>
      </rPr>
      <t>)</t>
    </r>
  </si>
  <si>
    <t>2024-25 Salary</t>
  </si>
  <si>
    <t>Total Days</t>
  </si>
  <si>
    <t>2025-26</t>
  </si>
  <si>
    <t>Standard Contract ## days</t>
  </si>
  <si>
    <t>(take Total Years minus Years in District)</t>
  </si>
  <si>
    <t xml:space="preserve">     (once logged in, select "Personal Information," then "Demographic Information" and "Education" on the left side of tool bar)</t>
  </si>
  <si>
    <t>STEP #1 - Base Raise for 2026-27</t>
  </si>
  <si>
    <t>(include the 2026-27 year)</t>
  </si>
  <si>
    <t>2026-27 Estimated Salary</t>
  </si>
  <si>
    <t>2026-27 Percentage Increase</t>
  </si>
  <si>
    <t>STEP #2 - OPTIONAL - are you getting new graduate credit hours for 2026-27?</t>
  </si>
  <si>
    <t>In all salary ranges, additional credit hours added during the 2026-27 and subsequent school years will only be calculated/credited at intervals of 9, 18, 27, 36, or 39 hours.  
Only 18 Hours will be recognized for salary advancement per year.</t>
  </si>
  <si>
    <t>Current 2025-26 Base Salary:</t>
  </si>
  <si>
    <t>2025-26 Salary Prior to New Hours:</t>
  </si>
  <si>
    <t>Teacher Formula Factors for 26-27 School Year</t>
  </si>
  <si>
    <t>26-27 School Year</t>
  </si>
  <si>
    <t>Year of Exp Pay</t>
  </si>
  <si>
    <t>Max 
Years</t>
  </si>
  <si>
    <t>Max Outside Pre 22-23</t>
  </si>
  <si>
    <t>Max Outside 22-23</t>
  </si>
  <si>
    <t>Max Outside 23-24</t>
  </si>
  <si>
    <t>Max Outside 24-25</t>
  </si>
  <si>
    <t>Max Outside 25-26</t>
  </si>
  <si>
    <t>Max Outside 26-27</t>
  </si>
  <si>
    <t>Credit Hour</t>
  </si>
  <si>
    <t>New Total Year 1 Pay</t>
  </si>
  <si>
    <t>EDS</t>
  </si>
  <si>
    <r>
      <t>Year Hired as Teacher at MPS 2022-23 School Year (</t>
    </r>
    <r>
      <rPr>
        <b/>
        <sz val="11"/>
        <color rgb="FFFF0000"/>
        <rFont val="Calibri"/>
        <family val="2"/>
        <scheme val="minor"/>
      </rPr>
      <t>EXTRA</t>
    </r>
    <r>
      <rPr>
        <sz val="11"/>
        <color theme="1"/>
        <rFont val="Calibri"/>
        <family val="2"/>
        <scheme val="minor"/>
      </rPr>
      <t xml:space="preserve"> OUTSIDE YEARS (</t>
    </r>
    <r>
      <rPr>
        <b/>
        <sz val="11"/>
        <color rgb="FFFF0000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))</t>
    </r>
  </si>
  <si>
    <r>
      <t>Year Hired as Teacher at MPS 2024-25 School Year (</t>
    </r>
    <r>
      <rPr>
        <b/>
        <sz val="11"/>
        <color rgb="FFFF0000"/>
        <rFont val="Calibri"/>
        <family val="2"/>
        <scheme val="minor"/>
      </rPr>
      <t>EXTRA</t>
    </r>
    <r>
      <rPr>
        <sz val="11"/>
        <color theme="1"/>
        <rFont val="Calibri"/>
        <family val="2"/>
        <scheme val="minor"/>
      </rPr>
      <t xml:space="preserve"> OUTSIDE YEARS (</t>
    </r>
    <r>
      <rPr>
        <b/>
        <sz val="11"/>
        <color rgb="FFFF0000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))</t>
    </r>
  </si>
  <si>
    <r>
      <t>Year Hired as Teacher at MPS 2025-26 School Year (</t>
    </r>
    <r>
      <rPr>
        <b/>
        <sz val="11"/>
        <color rgb="FFFF0000"/>
        <rFont val="Calibri"/>
        <family val="2"/>
        <scheme val="minor"/>
      </rPr>
      <t>EXTRA</t>
    </r>
    <r>
      <rPr>
        <sz val="11"/>
        <color theme="1"/>
        <rFont val="Calibri"/>
        <family val="2"/>
        <scheme val="minor"/>
      </rPr>
      <t xml:space="preserve"> OUTSIDE YEARS (</t>
    </r>
    <r>
      <rPr>
        <b/>
        <sz val="11"/>
        <color rgb="FFFF0000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))</t>
    </r>
  </si>
  <si>
    <r>
      <t>Year Hired as Teacher at MPS 2023-24 School Year (</t>
    </r>
    <r>
      <rPr>
        <b/>
        <sz val="11"/>
        <color rgb="FFFF0000"/>
        <rFont val="Calibri"/>
        <family val="2"/>
        <scheme val="minor"/>
      </rPr>
      <t>EXTRA</t>
    </r>
    <r>
      <rPr>
        <sz val="11"/>
        <color theme="1"/>
        <rFont val="Calibri"/>
        <family val="2"/>
        <scheme val="minor"/>
      </rPr>
      <t xml:space="preserve"> OUTSIDE YEARS (</t>
    </r>
    <r>
      <rPr>
        <b/>
        <sz val="11"/>
        <color rgb="FFFF0000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))</t>
    </r>
  </si>
  <si>
    <t>Extra Contract Days (Subtract 192 from contract days)</t>
  </si>
  <si>
    <t>Prior Year Salary</t>
  </si>
  <si>
    <t>Formula Salary</t>
  </si>
  <si>
    <t>Salary with Minimum Raise</t>
  </si>
  <si>
    <t>2026-27 Salary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</si>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</sst>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0"/>
  </cellStyleXfs>
  <cellXfs count="101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7" xfId="0" applyFill="1" applyBorder="1" applyAlignment="1">
      <alignment horizontal="center" vertical="center"/>
    </xf>
    <xf numFmtId="164" fontId="0" fillId="0" borderId="0" xfId="0" applyNumberFormat="1"/>
    <xf numFmtId="164" fontId="0" fillId="2" borderId="0" xfId="0" applyNumberFormat="1" applyFill="1"/>
    <xf numFmtId="164" fontId="0" fillId="4" borderId="0" xfId="0" applyNumberFormat="1" applyFill="1"/>
    <xf numFmtId="0" fontId="0" fillId="0" borderId="0" xfId="0" applyAlignment="1">
      <alignment horizontal="right"/>
    </xf>
    <xf numFmtId="2" fontId="0" fillId="3" borderId="6" xfId="0" applyNumberFormat="1" applyFill="1" applyBorder="1" applyAlignment="1">
      <alignment horizontal="center"/>
    </xf>
    <xf numFmtId="2" fontId="0" fillId="2" borderId="0" xfId="0" applyNumberFormat="1" applyFill="1"/>
    <xf numFmtId="0" fontId="0" fillId="0" borderId="8" xfId="0" applyBorder="1"/>
    <xf numFmtId="0" fontId="0" fillId="0" borderId="5" xfId="0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10" fontId="0" fillId="0" borderId="0" xfId="0" applyNumberFormat="1"/>
    <xf numFmtId="0" fontId="3" fillId="0" borderId="0" xfId="0" applyFont="1"/>
    <xf numFmtId="0" fontId="4" fillId="0" borderId="0" xfId="0" applyFont="1"/>
    <xf numFmtId="0" fontId="0" fillId="3" borderId="7" xfId="0" applyFill="1" applyBorder="1" applyAlignment="1">
      <alignment horizontal="center"/>
    </xf>
    <xf numFmtId="0" fontId="0" fillId="0" borderId="8" xfId="0" applyBorder="1" applyAlignment="1">
      <alignment wrapText="1"/>
    </xf>
    <xf numFmtId="164" fontId="0" fillId="0" borderId="4" xfId="0" applyNumberFormat="1" applyBorder="1" applyAlignment="1">
      <alignment horizontal="center"/>
    </xf>
    <xf numFmtId="0" fontId="5" fillId="0" borderId="1" xfId="0" applyFont="1" applyBorder="1"/>
    <xf numFmtId="164" fontId="5" fillId="0" borderId="6" xfId="0" applyNumberFormat="1" applyFont="1" applyBorder="1"/>
    <xf numFmtId="0" fontId="3" fillId="0" borderId="2" xfId="0" applyFont="1" applyBorder="1"/>
    <xf numFmtId="0" fontId="3" fillId="0" borderId="9" xfId="0" applyFont="1" applyBorder="1"/>
    <xf numFmtId="0" fontId="4" fillId="0" borderId="9" xfId="0" applyFont="1" applyBorder="1"/>
    <xf numFmtId="0" fontId="4" fillId="0" borderId="7" xfId="0" applyFont="1" applyBorder="1"/>
    <xf numFmtId="0" fontId="0" fillId="0" borderId="10" xfId="0" applyBorder="1"/>
    <xf numFmtId="0" fontId="3" fillId="0" borderId="3" xfId="0" applyFont="1" applyBorder="1"/>
    <xf numFmtId="0" fontId="4" fillId="0" borderId="4" xfId="0" applyFont="1" applyBorder="1"/>
    <xf numFmtId="16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0" xfId="0" applyFill="1"/>
    <xf numFmtId="0" fontId="6" fillId="0" borderId="0" xfId="0" applyFont="1"/>
    <xf numFmtId="0" fontId="7" fillId="0" borderId="0" xfId="1" applyFont="1"/>
    <xf numFmtId="164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3" fillId="3" borderId="0" xfId="0" applyFont="1" applyFill="1"/>
    <xf numFmtId="0" fontId="4" fillId="3" borderId="0" xfId="0" applyFont="1" applyFill="1"/>
    <xf numFmtId="0" fontId="0" fillId="0" borderId="1" xfId="0" applyBorder="1" applyAlignment="1">
      <alignment wrapText="1"/>
    </xf>
    <xf numFmtId="164" fontId="0" fillId="0" borderId="5" xfId="0" applyNumberFormat="1" applyBorder="1" applyAlignment="1">
      <alignment horizontal="center"/>
    </xf>
    <xf numFmtId="164" fontId="0" fillId="0" borderId="5" xfId="0" applyNumberForma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8" xfId="0" applyBorder="1" applyAlignment="1">
      <alignment vertical="top"/>
    </xf>
    <xf numFmtId="10" fontId="0" fillId="0" borderId="6" xfId="0" applyNumberFormat="1" applyBorder="1" applyAlignment="1">
      <alignment horizontal="center"/>
    </xf>
    <xf numFmtId="0" fontId="0" fillId="3" borderId="7" xfId="0" applyFill="1" applyBorder="1"/>
    <xf numFmtId="164" fontId="0" fillId="0" borderId="4" xfId="0" applyNumberFormat="1" applyBorder="1" applyAlignment="1">
      <alignment horizontal="left"/>
    </xf>
    <xf numFmtId="164" fontId="0" fillId="3" borderId="4" xfId="0" applyNumberFormat="1" applyFill="1" applyBorder="1" applyAlignment="1">
      <alignment horizontal="left"/>
    </xf>
    <xf numFmtId="164" fontId="0" fillId="3" borderId="5" xfId="0" applyNumberFormat="1" applyFill="1" applyBorder="1" applyAlignment="1">
      <alignment horizontal="left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0" fontId="11" fillId="3" borderId="0" xfId="0" applyFont="1" applyFill="1" applyAlignment="1">
      <alignment horizontal="center"/>
    </xf>
    <xf numFmtId="0" fontId="0" fillId="3" borderId="4" xfId="0" applyFill="1" applyBorder="1"/>
    <xf numFmtId="0" fontId="13" fillId="0" borderId="15" xfId="2" applyFont="1" applyBorder="1" applyAlignment="1">
      <alignment horizontal="center" wrapText="1"/>
    </xf>
    <xf numFmtId="0" fontId="13" fillId="0" borderId="16" xfId="2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3" fillId="6" borderId="18" xfId="0" applyFont="1" applyFill="1" applyBorder="1" applyAlignment="1">
      <alignment horizontal="center" wrapText="1"/>
    </xf>
    <xf numFmtId="0" fontId="13" fillId="0" borderId="15" xfId="2" applyFont="1" applyBorder="1" applyAlignment="1">
      <alignment horizontal="center"/>
    </xf>
    <xf numFmtId="164" fontId="14" fillId="0" borderId="17" xfId="2" applyNumberFormat="1" applyFont="1" applyBorder="1" applyAlignment="1">
      <alignment horizontal="center"/>
    </xf>
    <xf numFmtId="0" fontId="14" fillId="0" borderId="17" xfId="2" applyFont="1" applyBorder="1" applyAlignment="1">
      <alignment horizontal="center"/>
    </xf>
    <xf numFmtId="1" fontId="14" fillId="0" borderId="17" xfId="2" applyNumberFormat="1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164" fontId="14" fillId="0" borderId="17" xfId="0" applyNumberFormat="1" applyFont="1" applyBorder="1" applyAlignment="1">
      <alignment horizontal="center"/>
    </xf>
    <xf numFmtId="164" fontId="14" fillId="6" borderId="18" xfId="0" applyNumberFormat="1" applyFont="1" applyFill="1" applyBorder="1" applyAlignment="1">
      <alignment horizontal="center"/>
    </xf>
    <xf numFmtId="0" fontId="13" fillId="0" borderId="19" xfId="2" applyFont="1" applyBorder="1" applyAlignment="1">
      <alignment horizontal="center"/>
    </xf>
    <xf numFmtId="164" fontId="14" fillId="0" borderId="20" xfId="2" applyNumberFormat="1" applyFont="1" applyBorder="1" applyAlignment="1">
      <alignment horizontal="center"/>
    </xf>
    <xf numFmtId="0" fontId="14" fillId="0" borderId="20" xfId="2" applyFont="1" applyBorder="1" applyAlignment="1">
      <alignment horizontal="center"/>
    </xf>
    <xf numFmtId="1" fontId="14" fillId="0" borderId="20" xfId="2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164" fontId="14" fillId="0" borderId="20" xfId="0" applyNumberFormat="1" applyFont="1" applyBorder="1" applyAlignment="1">
      <alignment horizontal="center"/>
    </xf>
    <xf numFmtId="164" fontId="14" fillId="6" borderId="2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Hyperlink" xfId="1" builtinId="8"/>
    <cellStyle name="Normal" xfId="0" builtinId="0"/>
    <cellStyle name="Normal 2" xfId="2" xr:uid="{8A009679-48D4-4FD5-8724-AF5685944E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ay.mpsomaha.or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9"/>
  <sheetViews>
    <sheetView tabSelected="1" zoomScaleNormal="100" workbookViewId="0">
      <selection activeCell="C8" sqref="C8"/>
    </sheetView>
  </sheetViews>
  <sheetFormatPr defaultRowHeight="15" x14ac:dyDescent="0.25"/>
  <cols>
    <col min="1" max="1" width="2.5703125" customWidth="1"/>
    <col min="2" max="2" width="33.7109375" customWidth="1"/>
    <col min="3" max="3" width="15.5703125" bestFit="1" customWidth="1"/>
    <col min="5" max="5" width="8.85546875" hidden="1" customWidth="1"/>
    <col min="6" max="6" width="47.28515625" customWidth="1"/>
    <col min="7" max="7" width="16.5703125" style="10" customWidth="1"/>
  </cols>
  <sheetData>
    <row r="1" spans="2:8" ht="28.15" customHeight="1" x14ac:dyDescent="0.25">
      <c r="B1" s="93" t="s">
        <v>28</v>
      </c>
      <c r="C1" s="93"/>
      <c r="D1" s="93"/>
      <c r="E1" s="93"/>
      <c r="F1" s="93"/>
      <c r="G1" s="93"/>
      <c r="H1" s="93"/>
    </row>
    <row r="3" spans="2:8" s="23" customFormat="1" ht="18.75" x14ac:dyDescent="0.3">
      <c r="B3" s="55" t="s">
        <v>0</v>
      </c>
      <c r="C3" s="55"/>
      <c r="D3" s="56"/>
      <c r="F3" s="42" t="s">
        <v>27</v>
      </c>
      <c r="G3" s="60"/>
    </row>
    <row r="4" spans="2:8" s="23" customFormat="1" ht="14.25" customHeight="1" x14ac:dyDescent="0.3">
      <c r="B4" s="22"/>
      <c r="C4" s="22"/>
      <c r="F4" s="41" t="s">
        <v>60</v>
      </c>
      <c r="G4" s="60"/>
    </row>
    <row r="5" spans="2:8" s="23" customFormat="1" ht="18.75" x14ac:dyDescent="0.3">
      <c r="B5" s="29" t="s">
        <v>61</v>
      </c>
      <c r="C5" s="30"/>
      <c r="D5" s="31"/>
      <c r="E5" s="31"/>
      <c r="F5" s="31"/>
      <c r="G5" s="61"/>
      <c r="H5" s="32"/>
    </row>
    <row r="6" spans="2:8" x14ac:dyDescent="0.25">
      <c r="B6" s="4"/>
      <c r="H6" s="5"/>
    </row>
    <row r="7" spans="2:8" x14ac:dyDescent="0.25">
      <c r="B7" s="3" t="s">
        <v>67</v>
      </c>
      <c r="C7" s="20">
        <v>52510</v>
      </c>
      <c r="F7" s="3" t="s">
        <v>53</v>
      </c>
      <c r="G7" s="20" t="s">
        <v>51</v>
      </c>
      <c r="H7" s="5"/>
    </row>
    <row r="8" spans="2:8" x14ac:dyDescent="0.25">
      <c r="B8" s="4" t="s">
        <v>21</v>
      </c>
      <c r="C8" s="26"/>
      <c r="F8" s="18"/>
      <c r="G8" s="58"/>
      <c r="H8" s="5"/>
    </row>
    <row r="9" spans="2:8" ht="30" x14ac:dyDescent="0.25">
      <c r="B9" s="25" t="s">
        <v>24</v>
      </c>
      <c r="C9" s="19"/>
      <c r="H9" s="5"/>
    </row>
    <row r="10" spans="2:8" x14ac:dyDescent="0.25">
      <c r="B10" s="4"/>
      <c r="H10" s="5"/>
    </row>
    <row r="11" spans="2:8" x14ac:dyDescent="0.25">
      <c r="B11" s="7" t="s">
        <v>1</v>
      </c>
      <c r="C11" s="11">
        <v>2</v>
      </c>
      <c r="F11" s="8" t="s">
        <v>2</v>
      </c>
      <c r="G11" s="11">
        <v>0</v>
      </c>
      <c r="H11" s="5"/>
    </row>
    <row r="12" spans="2:8" x14ac:dyDescent="0.25">
      <c r="B12" s="4" t="s">
        <v>62</v>
      </c>
      <c r="C12" s="5"/>
      <c r="F12" s="4" t="s">
        <v>59</v>
      </c>
      <c r="G12" s="62"/>
      <c r="H12" s="5"/>
    </row>
    <row r="13" spans="2:8" x14ac:dyDescent="0.25">
      <c r="B13" s="18" t="s">
        <v>21</v>
      </c>
      <c r="C13" s="6"/>
      <c r="F13" s="18" t="s">
        <v>21</v>
      </c>
      <c r="G13" s="19"/>
      <c r="H13" s="5"/>
    </row>
    <row r="14" spans="2:8" x14ac:dyDescent="0.25">
      <c r="B14" s="4"/>
      <c r="H14" s="5"/>
    </row>
    <row r="15" spans="2:8" x14ac:dyDescent="0.25">
      <c r="B15" s="4"/>
      <c r="H15" s="5"/>
    </row>
    <row r="16" spans="2:8" x14ac:dyDescent="0.25">
      <c r="B16" s="3" t="s">
        <v>37</v>
      </c>
      <c r="C16" s="24" t="s">
        <v>5</v>
      </c>
      <c r="E16" t="s">
        <v>4</v>
      </c>
      <c r="F16" s="8" t="s">
        <v>42</v>
      </c>
      <c r="G16" s="24">
        <v>0</v>
      </c>
      <c r="H16" s="5"/>
    </row>
    <row r="17" spans="2:8" x14ac:dyDescent="0.25">
      <c r="B17" s="65" t="s">
        <v>21</v>
      </c>
      <c r="C17" s="19"/>
      <c r="E17" t="s">
        <v>5</v>
      </c>
      <c r="F17" s="25" t="s">
        <v>21</v>
      </c>
      <c r="G17" s="19"/>
      <c r="H17" s="5"/>
    </row>
    <row r="18" spans="2:8" x14ac:dyDescent="0.25">
      <c r="B18" s="4"/>
      <c r="E18" t="s">
        <v>6</v>
      </c>
      <c r="H18" s="5"/>
    </row>
    <row r="19" spans="2:8" x14ac:dyDescent="0.25">
      <c r="B19" s="2" t="s">
        <v>23</v>
      </c>
      <c r="C19" s="16">
        <v>1</v>
      </c>
      <c r="E19" t="s">
        <v>7</v>
      </c>
      <c r="F19" s="2" t="s">
        <v>86</v>
      </c>
      <c r="G19" s="9">
        <v>0</v>
      </c>
      <c r="H19" s="5"/>
    </row>
    <row r="20" spans="2:8" x14ac:dyDescent="0.25">
      <c r="B20" s="4"/>
      <c r="H20" s="5"/>
    </row>
    <row r="21" spans="2:8" x14ac:dyDescent="0.25">
      <c r="B21" s="4"/>
      <c r="H21" s="5"/>
    </row>
    <row r="22" spans="2:8" ht="21" x14ac:dyDescent="0.35">
      <c r="B22" s="27" t="s">
        <v>63</v>
      </c>
      <c r="C22" s="71" cm="1">
        <f t="array" ref="C22">_xlfn.IFS(G7="2025-26", Sheet5!L23, G7="2024-25", Sheet4!L23, G7="2023-24", Sheet3!L23, G7="2022-23", Sheet2!L23, G7="2021-22 Or Prior", Sheet1!L23)</f>
        <v>54392</v>
      </c>
      <c r="F22" s="2" t="s">
        <v>64</v>
      </c>
      <c r="G22" s="66">
        <f>(C22/(C7))-1</f>
        <v>3.5840792230051433E-2</v>
      </c>
      <c r="H22" s="5"/>
    </row>
    <row r="23" spans="2:8" x14ac:dyDescent="0.25">
      <c r="B23" s="18"/>
      <c r="C23" s="33"/>
      <c r="D23" s="33"/>
      <c r="E23" s="33"/>
      <c r="F23" s="33"/>
      <c r="G23" s="63"/>
      <c r="H23" s="6"/>
    </row>
    <row r="25" spans="2:8" x14ac:dyDescent="0.25">
      <c r="B25" s="40"/>
      <c r="C25" s="40"/>
      <c r="D25" s="40"/>
      <c r="E25" s="40"/>
      <c r="F25" s="40"/>
      <c r="G25" s="64"/>
      <c r="H25" s="40"/>
    </row>
    <row r="27" spans="2:8" ht="18.75" x14ac:dyDescent="0.3">
      <c r="B27" s="29" t="s">
        <v>65</v>
      </c>
      <c r="C27" s="30"/>
      <c r="D27" s="31"/>
      <c r="E27" s="31"/>
      <c r="F27" s="31"/>
      <c r="G27" s="61"/>
      <c r="H27" s="32"/>
    </row>
    <row r="28" spans="2:8" ht="18.75" x14ac:dyDescent="0.3">
      <c r="B28" s="34"/>
      <c r="C28" s="22"/>
      <c r="D28" s="23"/>
      <c r="E28" s="23"/>
      <c r="F28" s="23"/>
      <c r="G28" s="60"/>
      <c r="H28" s="35"/>
    </row>
    <row r="29" spans="2:8" ht="18.75" x14ac:dyDescent="0.3">
      <c r="B29" s="34" t="s">
        <v>25</v>
      </c>
      <c r="C29" s="22"/>
      <c r="D29" s="23"/>
      <c r="E29" s="23"/>
      <c r="F29" s="23"/>
      <c r="G29" s="60"/>
      <c r="H29" s="35"/>
    </row>
    <row r="30" spans="2:8" x14ac:dyDescent="0.25">
      <c r="B30" s="4"/>
      <c r="H30" s="5"/>
    </row>
    <row r="31" spans="2:8" x14ac:dyDescent="0.25">
      <c r="B31" s="3" t="s">
        <v>68</v>
      </c>
      <c r="C31" s="36">
        <f>C22</f>
        <v>54392</v>
      </c>
      <c r="F31" s="3" t="s">
        <v>53</v>
      </c>
      <c r="G31" s="36" t="str">
        <f>G7</f>
        <v>2021-22 Or Prior</v>
      </c>
      <c r="H31" s="5"/>
    </row>
    <row r="32" spans="2:8" ht="30" x14ac:dyDescent="0.25">
      <c r="B32" s="25" t="s">
        <v>24</v>
      </c>
      <c r="C32" s="19"/>
      <c r="F32" s="18"/>
      <c r="G32" s="19"/>
      <c r="H32" s="5"/>
    </row>
    <row r="33" spans="2:8" x14ac:dyDescent="0.25">
      <c r="B33" s="4"/>
      <c r="H33" s="5"/>
    </row>
    <row r="34" spans="2:8" x14ac:dyDescent="0.25">
      <c r="B34" s="7" t="s">
        <v>1</v>
      </c>
      <c r="C34" s="37">
        <f>C11</f>
        <v>2</v>
      </c>
      <c r="F34" s="8" t="s">
        <v>2</v>
      </c>
      <c r="G34" s="37">
        <f>G11</f>
        <v>0</v>
      </c>
      <c r="H34" s="5"/>
    </row>
    <row r="35" spans="2:8" x14ac:dyDescent="0.25">
      <c r="B35" s="4" t="str">
        <f>B12</f>
        <v>(include the 2026-27 year)</v>
      </c>
      <c r="C35" s="5"/>
      <c r="F35" s="4" t="s">
        <v>22</v>
      </c>
      <c r="G35" s="62"/>
      <c r="H35" s="5"/>
    </row>
    <row r="36" spans="2:8" x14ac:dyDescent="0.25">
      <c r="B36" s="18" t="s">
        <v>21</v>
      </c>
      <c r="C36" s="6"/>
      <c r="F36" s="18" t="s">
        <v>21</v>
      </c>
      <c r="G36" s="19"/>
      <c r="H36" s="5"/>
    </row>
    <row r="37" spans="2:8" x14ac:dyDescent="0.25">
      <c r="B37" s="4"/>
      <c r="H37" s="5"/>
    </row>
    <row r="38" spans="2:8" ht="49.5" customHeight="1" x14ac:dyDescent="0.25">
      <c r="B38" s="94" t="s">
        <v>66</v>
      </c>
      <c r="C38" s="95"/>
      <c r="D38" s="95"/>
      <c r="E38" s="95"/>
      <c r="F38" s="95"/>
      <c r="G38" s="96"/>
      <c r="H38" s="5"/>
    </row>
    <row r="39" spans="2:8" x14ac:dyDescent="0.25">
      <c r="B39" s="4"/>
      <c r="H39" s="5"/>
    </row>
    <row r="40" spans="2:8" ht="30" x14ac:dyDescent="0.25">
      <c r="B40" s="53" t="s">
        <v>3</v>
      </c>
      <c r="C40" s="24" t="s">
        <v>5</v>
      </c>
      <c r="E40" t="s">
        <v>4</v>
      </c>
      <c r="F40" s="54" t="s">
        <v>40</v>
      </c>
      <c r="G40" s="24">
        <v>0</v>
      </c>
      <c r="H40" s="5"/>
    </row>
    <row r="41" spans="2:8" x14ac:dyDescent="0.25">
      <c r="B41" s="18" t="s">
        <v>26</v>
      </c>
      <c r="C41" s="19"/>
      <c r="E41" t="s">
        <v>5</v>
      </c>
      <c r="F41" s="18" t="s">
        <v>43</v>
      </c>
      <c r="G41" s="19"/>
      <c r="H41" s="5"/>
    </row>
    <row r="42" spans="2:8" ht="15" customHeight="1" x14ac:dyDescent="0.25">
      <c r="B42" s="4"/>
      <c r="H42" s="5"/>
    </row>
    <row r="43" spans="2:8" ht="45" x14ac:dyDescent="0.25">
      <c r="B43" s="47"/>
      <c r="C43" s="46"/>
      <c r="D43" s="46"/>
      <c r="E43" s="46"/>
      <c r="F43" s="57" t="s">
        <v>41</v>
      </c>
      <c r="G43" s="39" cm="1">
        <f t="array" ref="G43">_xlfn.IFS(G7="2025-26", Sheet4!V33, G7="2023-24", Sheet3!V33, G7="2022-23", Sheet2!V33, G7="2021-22 Or Prior", Sheet1!V33)</f>
        <v>0</v>
      </c>
      <c r="H43" s="5"/>
    </row>
    <row r="44" spans="2:8" x14ac:dyDescent="0.25">
      <c r="B44" s="4"/>
      <c r="E44" t="s">
        <v>6</v>
      </c>
      <c r="H44" s="5"/>
    </row>
    <row r="45" spans="2:8" x14ac:dyDescent="0.25">
      <c r="B45" s="2" t="s">
        <v>23</v>
      </c>
      <c r="C45" s="38">
        <f>C19</f>
        <v>1</v>
      </c>
      <c r="E45" t="s">
        <v>7</v>
      </c>
      <c r="F45" s="2" t="str">
        <f>F19</f>
        <v>Extra Contract Days (Subtract 192 from contract days)</v>
      </c>
      <c r="G45" s="39">
        <f>G19</f>
        <v>0</v>
      </c>
      <c r="H45" s="5"/>
    </row>
    <row r="46" spans="2:8" x14ac:dyDescent="0.25">
      <c r="B46" s="4"/>
      <c r="H46" s="5"/>
    </row>
    <row r="47" spans="2:8" x14ac:dyDescent="0.25">
      <c r="B47" s="4"/>
      <c r="H47" s="5"/>
    </row>
    <row r="48" spans="2:8" ht="21" x14ac:dyDescent="0.35">
      <c r="B48" s="27" t="str">
        <f>B22</f>
        <v>2026-27 Estimated Salary</v>
      </c>
      <c r="C48" s="28" cm="1">
        <f t="array" ref="C48">_xlfn.IFS(G7="2025-26", Sheet5!L44, G7="2024-25", Sheet4!L44, G7="2023-24", Sheet3!L44, G7="2022-23", Sheet2!L44, G7="2021-22 Or Prior", Sheet1!L44)</f>
        <v>54392</v>
      </c>
      <c r="F48" s="2" t="str">
        <f>F22</f>
        <v>2026-27 Percentage Increase</v>
      </c>
      <c r="G48" s="66">
        <f>(C48/(C31))-1</f>
        <v>0</v>
      </c>
      <c r="H48" s="5"/>
    </row>
    <row r="49" spans="2:8" x14ac:dyDescent="0.25">
      <c r="B49" s="18"/>
      <c r="C49" s="33"/>
      <c r="D49" s="33"/>
      <c r="E49" s="33"/>
      <c r="F49" s="33"/>
      <c r="G49" s="63"/>
      <c r="H49" s="6"/>
    </row>
  </sheetData>
  <mergeCells count="2">
    <mergeCell ref="B1:H1"/>
    <mergeCell ref="B38:G38"/>
  </mergeCells>
  <phoneticPr fontId="10" type="noConversion"/>
  <dataValidations count="2">
    <dataValidation type="list" allowBlank="1" showInputMessage="1" showErrorMessage="1" errorTitle="List Error" error="Please select only from the List" promptTitle="Degree" sqref="C16:C17 C40:C41" xr:uid="{00000000-0002-0000-0000-000000000000}">
      <formula1>Degree</formula1>
    </dataValidation>
    <dataValidation allowBlank="1" showInputMessage="1" showErrorMessage="1" errorTitle="List Error" error="Please select only from the List" promptTitle="Degree" sqref="D16:D17 D40:D41" xr:uid="{00000000-0002-0000-0000-000001000000}"/>
  </dataValidations>
  <hyperlinks>
    <hyperlink ref="F3" r:id="rId1" display="Click here to visit the Employee Access Center" xr:uid="{00000000-0004-0000-0000-000000000000}"/>
  </hyperlinks>
  <pageMargins left="0.7" right="0.7" top="0.75" bottom="0.75" header="0.3" footer="0.3"/>
  <pageSetup scale="9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Year Hired" prompt="Year Originally Hired as Teacher at MPS" xr:uid="{146DD30E-B848-4254-914F-47C883ED32F7}">
          <x14:formula1>
            <xm:f>Sheet2!$L$1:$L$5</xm:f>
          </x14:formula1>
          <xm:sqref>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CF560-918D-4FAA-9700-0AF213EB0FBA}">
  <dimension ref="A1:N6"/>
  <sheetViews>
    <sheetView workbookViewId="0">
      <selection sqref="A1:N6"/>
    </sheetView>
  </sheetViews>
  <sheetFormatPr defaultRowHeight="15" x14ac:dyDescent="0.25"/>
  <cols>
    <col min="2" max="2" width="10.140625" bestFit="1" customWidth="1"/>
    <col min="14" max="14" width="10.140625" bestFit="1" customWidth="1"/>
  </cols>
  <sheetData>
    <row r="1" spans="1:14" x14ac:dyDescent="0.25">
      <c r="A1" s="97" t="s">
        <v>69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51.75" x14ac:dyDescent="0.25">
      <c r="A2" s="75" t="s">
        <v>70</v>
      </c>
      <c r="B2" s="76" t="s">
        <v>29</v>
      </c>
      <c r="C2" s="76" t="s">
        <v>71</v>
      </c>
      <c r="D2" s="76" t="s">
        <v>72</v>
      </c>
      <c r="E2" s="76" t="s">
        <v>73</v>
      </c>
      <c r="F2" s="76" t="s">
        <v>74</v>
      </c>
      <c r="G2" s="76" t="s">
        <v>75</v>
      </c>
      <c r="H2" s="77" t="s">
        <v>76</v>
      </c>
      <c r="I2" s="77" t="s">
        <v>77</v>
      </c>
      <c r="J2" s="77" t="s">
        <v>78</v>
      </c>
      <c r="K2" s="77"/>
      <c r="L2" s="77" t="s">
        <v>79</v>
      </c>
      <c r="M2" s="77" t="s">
        <v>34</v>
      </c>
      <c r="N2" s="78" t="s">
        <v>80</v>
      </c>
    </row>
    <row r="3" spans="1:14" x14ac:dyDescent="0.25">
      <c r="A3" s="79" t="s">
        <v>4</v>
      </c>
      <c r="B3" s="80">
        <v>44550</v>
      </c>
      <c r="C3" s="80">
        <v>465</v>
      </c>
      <c r="D3" s="81">
        <v>8</v>
      </c>
      <c r="E3" s="81">
        <v>8</v>
      </c>
      <c r="F3" s="82">
        <v>8</v>
      </c>
      <c r="G3" s="81">
        <v>8</v>
      </c>
      <c r="H3" s="83">
        <v>8</v>
      </c>
      <c r="I3" s="83">
        <v>8</v>
      </c>
      <c r="J3" s="83">
        <v>8</v>
      </c>
      <c r="K3" s="83"/>
      <c r="L3" s="84">
        <v>195</v>
      </c>
      <c r="M3" s="83">
        <v>39</v>
      </c>
      <c r="N3" s="85">
        <v>45015</v>
      </c>
    </row>
    <row r="4" spans="1:14" x14ac:dyDescent="0.25">
      <c r="A4" s="79" t="s">
        <v>5</v>
      </c>
      <c r="B4" s="80">
        <v>52310</v>
      </c>
      <c r="C4" s="80">
        <v>1041</v>
      </c>
      <c r="D4" s="81">
        <v>25</v>
      </c>
      <c r="E4" s="81">
        <v>13</v>
      </c>
      <c r="F4" s="82">
        <v>14</v>
      </c>
      <c r="G4" s="81">
        <v>15</v>
      </c>
      <c r="H4" s="83">
        <v>16</v>
      </c>
      <c r="I4" s="83">
        <v>17</v>
      </c>
      <c r="J4" s="83">
        <v>17</v>
      </c>
      <c r="K4" s="83"/>
      <c r="L4" s="84">
        <v>290</v>
      </c>
      <c r="M4" s="83">
        <v>39</v>
      </c>
      <c r="N4" s="85">
        <v>53351</v>
      </c>
    </row>
    <row r="5" spans="1:14" x14ac:dyDescent="0.25">
      <c r="A5" s="79" t="s">
        <v>81</v>
      </c>
      <c r="B5" s="80">
        <v>63115</v>
      </c>
      <c r="C5" s="80">
        <v>1061</v>
      </c>
      <c r="D5" s="81">
        <v>25</v>
      </c>
      <c r="E5" s="81">
        <v>13</v>
      </c>
      <c r="F5" s="82">
        <v>14</v>
      </c>
      <c r="G5" s="81">
        <v>15</v>
      </c>
      <c r="H5" s="83">
        <v>16</v>
      </c>
      <c r="I5" s="83">
        <v>17</v>
      </c>
      <c r="J5" s="83">
        <v>17</v>
      </c>
      <c r="K5" s="83"/>
      <c r="L5" s="84">
        <v>290</v>
      </c>
      <c r="M5" s="83">
        <v>3</v>
      </c>
      <c r="N5" s="85">
        <v>64176</v>
      </c>
    </row>
    <row r="6" spans="1:14" ht="15.75" thickBot="1" x14ac:dyDescent="0.3">
      <c r="A6" s="86" t="s">
        <v>7</v>
      </c>
      <c r="B6" s="87">
        <v>63115</v>
      </c>
      <c r="C6" s="87">
        <v>1081</v>
      </c>
      <c r="D6" s="88">
        <v>25</v>
      </c>
      <c r="E6" s="88">
        <v>13</v>
      </c>
      <c r="F6" s="89">
        <v>14</v>
      </c>
      <c r="G6" s="88">
        <v>15</v>
      </c>
      <c r="H6" s="90">
        <v>16</v>
      </c>
      <c r="I6" s="90">
        <v>17</v>
      </c>
      <c r="J6" s="90">
        <v>17</v>
      </c>
      <c r="K6" s="90"/>
      <c r="L6" s="91">
        <v>290</v>
      </c>
      <c r="M6" s="90">
        <v>3</v>
      </c>
      <c r="N6" s="92">
        <v>64196</v>
      </c>
    </row>
  </sheetData>
  <sheetProtection algorithmName="SHA-512" hashValue="+mQjuNzOIoFIzL//bxA80h+MMimlqZqIkym3v9NPDx5JmWhRoVvSrO5Teg81+N2DZySDR6vfO7R6R+/2PpoQww==" saltValue="SDo31IfACYmK9iWxowWXkQ==" spinCount="100000" sheet="1" objects="1" scenarios="1"/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4480-6367-4238-B00A-1CA2949C4CD7}">
  <dimension ref="B1:V53"/>
  <sheetViews>
    <sheetView workbookViewId="0">
      <selection activeCell="L3" sqref="L3"/>
    </sheetView>
  </sheetViews>
  <sheetFormatPr defaultRowHeight="15" x14ac:dyDescent="0.25"/>
  <cols>
    <col min="2" max="2" width="20.7109375" customWidth="1"/>
    <col min="3" max="6" width="12.85546875" style="10" customWidth="1"/>
    <col min="7" max="10" width="2" customWidth="1"/>
    <col min="11" max="11" width="30.42578125" customWidth="1"/>
    <col min="12" max="12" width="15.140625" customWidth="1"/>
    <col min="13" max="13" width="12" customWidth="1"/>
    <col min="14" max="16" width="13" customWidth="1"/>
    <col min="17" max="17" width="13" style="10" customWidth="1"/>
    <col min="18" max="18" width="12" style="46" customWidth="1"/>
    <col min="19" max="19" width="21.85546875" customWidth="1"/>
    <col min="20" max="20" width="17.7109375" customWidth="1"/>
    <col min="21" max="21" width="15.140625" customWidth="1"/>
    <col min="22" max="22" width="12.5703125" customWidth="1"/>
    <col min="23" max="26" width="9.140625" customWidth="1"/>
  </cols>
  <sheetData>
    <row r="1" spans="2:21" x14ac:dyDescent="0.25">
      <c r="K1" s="3" t="s">
        <v>50</v>
      </c>
      <c r="L1" s="72" t="s">
        <v>57</v>
      </c>
    </row>
    <row r="2" spans="2:21" x14ac:dyDescent="0.25">
      <c r="K2" s="4"/>
      <c r="L2" s="5" t="s">
        <v>91</v>
      </c>
    </row>
    <row r="3" spans="2:21" x14ac:dyDescent="0.25">
      <c r="K3" s="4"/>
      <c r="L3" s="5" t="s">
        <v>52</v>
      </c>
    </row>
    <row r="4" spans="2:21" x14ac:dyDescent="0.25">
      <c r="B4" s="100" t="s">
        <v>54</v>
      </c>
      <c r="C4" s="100"/>
      <c r="D4" s="100"/>
      <c r="E4" s="100"/>
      <c r="F4" s="100"/>
      <c r="K4" s="4"/>
      <c r="L4" s="68" t="s">
        <v>49</v>
      </c>
    </row>
    <row r="5" spans="2:21" x14ac:dyDescent="0.25">
      <c r="C5" s="43">
        <f>C8</f>
        <v>45015</v>
      </c>
      <c r="D5" s="43">
        <v>47280</v>
      </c>
      <c r="E5" s="43">
        <v>57200</v>
      </c>
      <c r="F5" s="43">
        <v>57220</v>
      </c>
      <c r="K5" s="18"/>
      <c r="L5" s="70" t="s">
        <v>51</v>
      </c>
    </row>
    <row r="6" spans="2:21" ht="45" x14ac:dyDescent="0.25">
      <c r="C6" s="10" t="s">
        <v>4</v>
      </c>
      <c r="D6" s="10" t="s">
        <v>5</v>
      </c>
      <c r="E6" s="10" t="s">
        <v>6</v>
      </c>
      <c r="F6" s="10" t="s">
        <v>7</v>
      </c>
      <c r="L6" s="15" t="s">
        <v>90</v>
      </c>
      <c r="M6" s="15" t="s">
        <v>4</v>
      </c>
      <c r="N6" s="15" t="s">
        <v>5</v>
      </c>
      <c r="O6" s="15" t="s">
        <v>6</v>
      </c>
      <c r="P6" s="15" t="s">
        <v>7</v>
      </c>
      <c r="Q6" s="10" t="s">
        <v>9</v>
      </c>
      <c r="R6" s="49" t="s">
        <v>39</v>
      </c>
      <c r="S6" s="50" t="s">
        <v>48</v>
      </c>
      <c r="T6" s="52">
        <v>18</v>
      </c>
    </row>
    <row r="7" spans="2:21" x14ac:dyDescent="0.25">
      <c r="B7" t="s">
        <v>29</v>
      </c>
      <c r="C7" s="43">
        <f>FORMULA!B3</f>
        <v>44550</v>
      </c>
      <c r="D7" s="43">
        <f>FORMULA!B4</f>
        <v>52310</v>
      </c>
      <c r="E7" s="43">
        <f>FORMULA!B5</f>
        <v>63115</v>
      </c>
      <c r="F7" s="43">
        <f>FORMULA!B6</f>
        <v>63115</v>
      </c>
      <c r="K7" t="s">
        <v>13</v>
      </c>
      <c r="L7" s="14">
        <f>MAX(M7:P8)</f>
        <v>52310</v>
      </c>
      <c r="M7" s="12">
        <f>IF(SalaryCheckHome!$C$16="BA",C7,0)</f>
        <v>0</v>
      </c>
      <c r="N7" s="12">
        <f>IF(SalaryCheckHome!$C$16="MA",D7,0)</f>
        <v>52310</v>
      </c>
      <c r="O7" s="12">
        <f>IF(SalaryCheckHome!$C$16="EDSpec",E7,0)</f>
        <v>0</v>
      </c>
      <c r="P7" s="12">
        <f>IF(SalaryCheckHome!$C$16="Doc",F7,0)</f>
        <v>0</v>
      </c>
    </row>
    <row r="8" spans="2:21" x14ac:dyDescent="0.25">
      <c r="B8" t="s">
        <v>36</v>
      </c>
      <c r="C8" s="45">
        <f>C7+C9</f>
        <v>45015</v>
      </c>
      <c r="D8" s="45">
        <f t="shared" ref="D8:F8" si="0">D7+D9</f>
        <v>53351</v>
      </c>
      <c r="E8" s="45">
        <f t="shared" si="0"/>
        <v>64176</v>
      </c>
      <c r="F8" s="45">
        <f t="shared" si="0"/>
        <v>64196</v>
      </c>
      <c r="K8" t="s">
        <v>8</v>
      </c>
      <c r="L8" s="13">
        <f>MAX(M8:P9)</f>
        <v>1041</v>
      </c>
      <c r="M8" s="12">
        <f>IF(SalaryCheckHome!$C$16="BA",C9,0)</f>
        <v>0</v>
      </c>
      <c r="N8" s="12">
        <f>IF(SalaryCheckHome!$C$16="MA",D9,0)</f>
        <v>1041</v>
      </c>
      <c r="O8" s="12">
        <f>IF(SalaryCheckHome!$C$16="EDSpec",E9,0)</f>
        <v>0</v>
      </c>
      <c r="P8" s="12">
        <f>IF(SalaryCheckHome!$C$16="Doc",F9,0)</f>
        <v>0</v>
      </c>
    </row>
    <row r="9" spans="2:21" x14ac:dyDescent="0.25">
      <c r="B9" t="s">
        <v>30</v>
      </c>
      <c r="C9" s="43">
        <f>FORMULA!C3</f>
        <v>465</v>
      </c>
      <c r="D9" s="43">
        <f>FORMULA!C4</f>
        <v>1041</v>
      </c>
      <c r="E9" s="43">
        <f>FORMULA!C5</f>
        <v>1061</v>
      </c>
      <c r="F9" s="43">
        <f>FORMULA!C6</f>
        <v>1081</v>
      </c>
      <c r="K9" t="s">
        <v>10</v>
      </c>
      <c r="L9" s="1">
        <f>MIN(Q9:R9)</f>
        <v>0</v>
      </c>
      <c r="M9">
        <f>IF(SalaryCheckHome!$C$16="BA",C10,0)</f>
        <v>0</v>
      </c>
      <c r="N9">
        <f>IF(SalaryCheckHome!$C$16="MA",D10,0)</f>
        <v>13</v>
      </c>
      <c r="O9">
        <f>IF(SalaryCheckHome!$C$16="EDSpec",E10,0)</f>
        <v>0</v>
      </c>
      <c r="P9">
        <f>IF(SalaryCheckHome!$C$16="Doc",F10,0)</f>
        <v>0</v>
      </c>
      <c r="Q9" s="10">
        <f>MAX(M9:P9)</f>
        <v>13</v>
      </c>
      <c r="R9" s="46">
        <f>SalaryCheckHome!G11</f>
        <v>0</v>
      </c>
    </row>
    <row r="10" spans="2:21" x14ac:dyDescent="0.25">
      <c r="B10" t="s">
        <v>31</v>
      </c>
      <c r="C10" s="10">
        <v>8</v>
      </c>
      <c r="D10" s="73">
        <v>13</v>
      </c>
      <c r="E10" s="73">
        <v>13</v>
      </c>
      <c r="F10" s="73">
        <v>13</v>
      </c>
      <c r="K10" t="s">
        <v>11</v>
      </c>
      <c r="L10" s="1">
        <f>MIN(Q10:R10)</f>
        <v>2</v>
      </c>
      <c r="M10">
        <f>IF(SalaryCheckHome!$C$16="BA",C11,0)</f>
        <v>0</v>
      </c>
      <c r="N10">
        <f>IF(SalaryCheckHome!$C$16="MA",D11,0)</f>
        <v>25</v>
      </c>
      <c r="O10">
        <f>IF(SalaryCheckHome!$C$16="EDSpec",E11,0)</f>
        <v>0</v>
      </c>
      <c r="P10">
        <f>IF(SalaryCheckHome!$C$16="Doc",F11,0)</f>
        <v>0</v>
      </c>
      <c r="Q10" s="10">
        <f>MAX(M10:P10)</f>
        <v>25</v>
      </c>
      <c r="R10" s="46">
        <f>L9+SalaryCheckHome!C11</f>
        <v>2</v>
      </c>
    </row>
    <row r="11" spans="2:21" x14ac:dyDescent="0.25">
      <c r="B11" t="s">
        <v>32</v>
      </c>
      <c r="C11" s="10">
        <v>8</v>
      </c>
      <c r="D11" s="10">
        <v>25</v>
      </c>
      <c r="E11" s="10">
        <v>25</v>
      </c>
      <c r="F11" s="10">
        <v>25</v>
      </c>
      <c r="K11" t="s">
        <v>12</v>
      </c>
      <c r="L11" s="14">
        <f>L8*L10</f>
        <v>2082</v>
      </c>
    </row>
    <row r="12" spans="2:21" x14ac:dyDescent="0.25">
      <c r="K12" t="s">
        <v>14</v>
      </c>
      <c r="L12" s="1">
        <f>MIN(Q12:U12)</f>
        <v>0</v>
      </c>
      <c r="M12">
        <f>IF(SalaryCheckHome!$C$16="BA",C14,0)</f>
        <v>0</v>
      </c>
      <c r="N12">
        <f>IF(SalaryCheckHome!$C$16="MA",D14,0)</f>
        <v>39</v>
      </c>
      <c r="O12">
        <f>IF(SalaryCheckHome!$C$16="EDSpec",E14,0)</f>
        <v>0</v>
      </c>
      <c r="P12">
        <f>IF(SalaryCheckHome!$C$16="Doc",F14,0)</f>
        <v>0</v>
      </c>
      <c r="Q12" s="10">
        <f>MAX(M12:P12)</f>
        <v>39</v>
      </c>
      <c r="R12" s="49">
        <f>SalaryCheckHome!G16</f>
        <v>0</v>
      </c>
      <c r="S12" s="10"/>
      <c r="T12" s="10"/>
      <c r="U12" s="10"/>
    </row>
    <row r="13" spans="2:21" x14ac:dyDescent="0.25">
      <c r="B13" t="s">
        <v>33</v>
      </c>
      <c r="C13" s="43">
        <f>FORMULA!L3</f>
        <v>195</v>
      </c>
      <c r="D13" s="43">
        <f>FORMULA!L4</f>
        <v>290</v>
      </c>
      <c r="E13" s="43">
        <f>FORMULA!L5</f>
        <v>290</v>
      </c>
      <c r="F13" s="43">
        <f>FORMULA!L6</f>
        <v>290</v>
      </c>
      <c r="K13" t="s">
        <v>15</v>
      </c>
      <c r="L13" s="13">
        <f>MAX(M13:P14)</f>
        <v>290</v>
      </c>
      <c r="M13" s="12">
        <f>IF(SalaryCheckHome!$C$16="BA",C13,0)</f>
        <v>0</v>
      </c>
      <c r="N13" s="12">
        <f>IF(SalaryCheckHome!$C$16="MA",D13,0)</f>
        <v>290</v>
      </c>
      <c r="O13" s="12">
        <f>IF(SalaryCheckHome!$C$16="EDSpec",E13,0)</f>
        <v>0</v>
      </c>
      <c r="P13" s="12">
        <f>IF(SalaryCheckHome!$C$16="Doc",F13,0)</f>
        <v>0</v>
      </c>
    </row>
    <row r="14" spans="2:21" x14ac:dyDescent="0.25">
      <c r="B14" t="s">
        <v>34</v>
      </c>
      <c r="C14" s="10">
        <v>39</v>
      </c>
      <c r="D14" s="10">
        <v>39</v>
      </c>
      <c r="E14" s="10">
        <v>3</v>
      </c>
      <c r="F14" s="10">
        <v>3</v>
      </c>
      <c r="K14" t="s">
        <v>16</v>
      </c>
      <c r="L14" s="14">
        <f>L13*L12</f>
        <v>0</v>
      </c>
    </row>
    <row r="15" spans="2:21" x14ac:dyDescent="0.25">
      <c r="K15" t="s">
        <v>17</v>
      </c>
      <c r="L15" s="14">
        <f>L14+L11+L7</f>
        <v>54392</v>
      </c>
    </row>
    <row r="16" spans="2:21" x14ac:dyDescent="0.25">
      <c r="B16" t="s">
        <v>35</v>
      </c>
      <c r="C16" s="44">
        <v>0</v>
      </c>
      <c r="K16" t="s">
        <v>18</v>
      </c>
      <c r="L16" s="17">
        <f>SalaryCheckHome!C19</f>
        <v>1</v>
      </c>
      <c r="M16" t="s">
        <v>56</v>
      </c>
    </row>
    <row r="17" spans="2:22" x14ac:dyDescent="0.25">
      <c r="B17" t="s">
        <v>58</v>
      </c>
      <c r="C17" s="10">
        <v>192</v>
      </c>
      <c r="K17" t="s">
        <v>19</v>
      </c>
      <c r="L17" s="1">
        <f>SalaryCheckHome!G19</f>
        <v>0</v>
      </c>
      <c r="M17" s="10">
        <f>C17+L17</f>
        <v>192</v>
      </c>
    </row>
    <row r="18" spans="2:22" x14ac:dyDescent="0.25">
      <c r="K18" t="s">
        <v>20</v>
      </c>
      <c r="L18" s="14">
        <f>L15*L16*(M17/C17)</f>
        <v>54392</v>
      </c>
      <c r="M18" s="12">
        <f>L15*L16*(M17/C17)</f>
        <v>54392</v>
      </c>
    </row>
    <row r="19" spans="2:22" x14ac:dyDescent="0.25">
      <c r="L19" s="12"/>
    </row>
    <row r="20" spans="2:22" x14ac:dyDescent="0.25">
      <c r="K20" t="s">
        <v>87</v>
      </c>
      <c r="L20" s="13">
        <f>SalaryCheckHome!C7</f>
        <v>52510</v>
      </c>
    </row>
    <row r="21" spans="2:22" x14ac:dyDescent="0.25">
      <c r="K21" t="s">
        <v>88</v>
      </c>
      <c r="L21" s="13">
        <f>L18</f>
        <v>54392</v>
      </c>
    </row>
    <row r="22" spans="2:22" x14ac:dyDescent="0.25">
      <c r="K22" t="s">
        <v>89</v>
      </c>
      <c r="L22" s="13">
        <f>L20+C16</f>
        <v>52510</v>
      </c>
    </row>
    <row r="23" spans="2:22" x14ac:dyDescent="0.25">
      <c r="K23" t="str">
        <f>L6</f>
        <v>2026-27 Salary</v>
      </c>
      <c r="L23" s="14">
        <f>MAX(L21:L22)</f>
        <v>54392</v>
      </c>
      <c r="M23" s="21">
        <f>(L23/L20)-1</f>
        <v>3.5840792230051433E-2</v>
      </c>
    </row>
    <row r="24" spans="2:22" x14ac:dyDescent="0.25">
      <c r="M24" s="21"/>
    </row>
    <row r="26" spans="2:22" x14ac:dyDescent="0.25">
      <c r="R26" s="10"/>
      <c r="S26" s="46"/>
    </row>
    <row r="27" spans="2:22" ht="60" x14ac:dyDescent="0.25">
      <c r="C27" s="10" t="s">
        <v>4</v>
      </c>
      <c r="D27" s="10" t="s">
        <v>5</v>
      </c>
      <c r="E27" s="10" t="s">
        <v>6</v>
      </c>
      <c r="F27" s="10" t="s">
        <v>7</v>
      </c>
      <c r="L27" s="15" t="str">
        <f>L6</f>
        <v>2026-27 Salary</v>
      </c>
      <c r="M27" s="15" t="s">
        <v>4</v>
      </c>
      <c r="N27" s="15" t="s">
        <v>5</v>
      </c>
      <c r="O27" s="15" t="s">
        <v>6</v>
      </c>
      <c r="P27" s="15" t="s">
        <v>7</v>
      </c>
      <c r="Q27" s="10" t="s">
        <v>9</v>
      </c>
      <c r="R27" s="49" t="s">
        <v>45</v>
      </c>
      <c r="S27" s="50" t="s">
        <v>46</v>
      </c>
      <c r="T27" s="51" t="s">
        <v>47</v>
      </c>
      <c r="U27" s="51" t="s">
        <v>44</v>
      </c>
      <c r="V27" s="51" t="s">
        <v>38</v>
      </c>
    </row>
    <row r="28" spans="2:22" x14ac:dyDescent="0.25">
      <c r="B28" t="s">
        <v>29</v>
      </c>
      <c r="C28" s="43">
        <f>C7</f>
        <v>44550</v>
      </c>
      <c r="D28" s="43">
        <f>D7</f>
        <v>52310</v>
      </c>
      <c r="E28" s="43">
        <f>E7</f>
        <v>63115</v>
      </c>
      <c r="F28" s="43">
        <f>F7</f>
        <v>63115</v>
      </c>
      <c r="K28" t="s">
        <v>13</v>
      </c>
      <c r="L28" s="14">
        <f>MAX(M28:P29)</f>
        <v>52310</v>
      </c>
      <c r="M28" s="12">
        <f>IF(SalaryCheckHome!$C$40="BA",C28,0)</f>
        <v>0</v>
      </c>
      <c r="N28" s="12">
        <f>IF(SalaryCheckHome!$C$40="MA",D28,0)</f>
        <v>52310</v>
      </c>
      <c r="O28" s="12">
        <f>IF(SalaryCheckHome!$C$40="EDSpec",E28,0)</f>
        <v>0</v>
      </c>
      <c r="P28" s="12">
        <f>IF(SalaryCheckHome!$C$40="Doc",F28,0)</f>
        <v>0</v>
      </c>
      <c r="R28"/>
      <c r="S28" s="46"/>
    </row>
    <row r="29" spans="2:22" x14ac:dyDescent="0.25">
      <c r="C29" s="43"/>
      <c r="D29" s="43"/>
      <c r="E29" s="43"/>
      <c r="F29" s="43"/>
      <c r="K29" t="s">
        <v>8</v>
      </c>
      <c r="L29" s="13">
        <f>MAX(M29:P30)</f>
        <v>1041</v>
      </c>
      <c r="M29" s="12">
        <f>IF(SalaryCheckHome!$C$40="BA",C30,0)</f>
        <v>0</v>
      </c>
      <c r="N29" s="12">
        <f>IF(SalaryCheckHome!$C$40="MA",D30,0)</f>
        <v>1041</v>
      </c>
      <c r="O29" s="12">
        <f>IF(SalaryCheckHome!$C$40="EDSpec",E30,0)</f>
        <v>0</v>
      </c>
      <c r="P29" s="12">
        <f>IF(SalaryCheckHome!$C$40="Doc",F30,0)</f>
        <v>0</v>
      </c>
      <c r="R29"/>
      <c r="S29" s="46"/>
    </row>
    <row r="30" spans="2:22" x14ac:dyDescent="0.25">
      <c r="B30" t="s">
        <v>30</v>
      </c>
      <c r="C30" s="43">
        <f t="shared" ref="C30:F32" si="1">C9</f>
        <v>465</v>
      </c>
      <c r="D30" s="43">
        <f t="shared" si="1"/>
        <v>1041</v>
      </c>
      <c r="E30" s="43">
        <f t="shared" si="1"/>
        <v>1061</v>
      </c>
      <c r="F30" s="43">
        <f t="shared" si="1"/>
        <v>1081</v>
      </c>
      <c r="K30" t="s">
        <v>10</v>
      </c>
      <c r="L30" s="1">
        <f>L9</f>
        <v>0</v>
      </c>
      <c r="R30"/>
      <c r="S30" s="46"/>
    </row>
    <row r="31" spans="2:22" x14ac:dyDescent="0.25">
      <c r="B31" t="s">
        <v>31</v>
      </c>
      <c r="C31" s="10">
        <f t="shared" si="1"/>
        <v>8</v>
      </c>
      <c r="D31" s="10">
        <f t="shared" si="1"/>
        <v>13</v>
      </c>
      <c r="E31" s="10">
        <f t="shared" si="1"/>
        <v>13</v>
      </c>
      <c r="F31" s="10">
        <f t="shared" si="1"/>
        <v>13</v>
      </c>
      <c r="K31" t="s">
        <v>11</v>
      </c>
      <c r="L31" s="1">
        <f>L10</f>
        <v>2</v>
      </c>
      <c r="R31"/>
      <c r="S31" s="46"/>
    </row>
    <row r="32" spans="2:22" x14ac:dyDescent="0.25">
      <c r="B32" t="s">
        <v>32</v>
      </c>
      <c r="C32" s="10">
        <f t="shared" si="1"/>
        <v>8</v>
      </c>
      <c r="D32" s="10">
        <f t="shared" si="1"/>
        <v>25</v>
      </c>
      <c r="E32" s="10">
        <f t="shared" si="1"/>
        <v>25</v>
      </c>
      <c r="F32" s="10">
        <f t="shared" si="1"/>
        <v>25</v>
      </c>
      <c r="K32" t="s">
        <v>12</v>
      </c>
      <c r="L32" s="14">
        <f>L29*L31</f>
        <v>2082</v>
      </c>
      <c r="R32"/>
      <c r="S32" s="46"/>
    </row>
    <row r="33" spans="2:22" x14ac:dyDescent="0.25">
      <c r="C33" s="43"/>
      <c r="D33" s="43"/>
      <c r="E33" s="43"/>
      <c r="F33" s="43"/>
      <c r="K33" t="s">
        <v>14</v>
      </c>
      <c r="L33" s="1">
        <f>MIN(Q33:R33)</f>
        <v>0</v>
      </c>
      <c r="M33">
        <f>IF(SalaryCheckHome!$C$40="BA",C35,0)</f>
        <v>0</v>
      </c>
      <c r="N33">
        <f>IF(SalaryCheckHome!$C$40="MA",D35,0)</f>
        <v>39</v>
      </c>
      <c r="O33">
        <f>IF(SalaryCheckHome!$C$40="EDSpec",E35,0)</f>
        <v>0</v>
      </c>
      <c r="P33">
        <f>IF(SalaryCheckHome!$C$40="Doc",F35,0)</f>
        <v>0</v>
      </c>
      <c r="Q33" s="10">
        <f>MAX(M33:P33)</f>
        <v>39</v>
      </c>
      <c r="R33" s="10">
        <f>MAX(Q312,V33)</f>
        <v>0</v>
      </c>
      <c r="S33" s="50">
        <f>SalaryCheckHome!G40</f>
        <v>0</v>
      </c>
      <c r="T33" s="48">
        <f>(S33-R12)</f>
        <v>0</v>
      </c>
      <c r="U33" s="48">
        <f>MIN((T33+R12),(R12+18))</f>
        <v>0</v>
      </c>
      <c r="V33" s="48">
        <f xml:space="preserve"> IF(U33=0,0,IF(U33&gt;=39,39,IF(U33&gt;=36,36,IF(U33=36,36,(IF(U33&gt;=27,27,(IF(U33&gt;=18,18,(IF(U33&gt;=9,9,0))))))))))</f>
        <v>0</v>
      </c>
    </row>
    <row r="34" spans="2:22" x14ac:dyDescent="0.25">
      <c r="B34" t="s">
        <v>33</v>
      </c>
      <c r="C34" s="43">
        <f t="shared" ref="C34:F35" si="2">C13</f>
        <v>195</v>
      </c>
      <c r="D34" s="43">
        <f t="shared" si="2"/>
        <v>290</v>
      </c>
      <c r="E34" s="43">
        <f t="shared" si="2"/>
        <v>290</v>
      </c>
      <c r="F34" s="43">
        <f t="shared" si="2"/>
        <v>290</v>
      </c>
      <c r="K34" t="s">
        <v>15</v>
      </c>
      <c r="L34" s="13">
        <f>MAX(M34:P35)</f>
        <v>290</v>
      </c>
      <c r="M34" s="12">
        <f>IF(SalaryCheckHome!$C$40="BA",C34,0)</f>
        <v>0</v>
      </c>
      <c r="N34" s="12">
        <f>IF(SalaryCheckHome!$C$40="MA",D34,0)</f>
        <v>290</v>
      </c>
      <c r="O34" s="12">
        <f>IF(SalaryCheckHome!$C$40="EDSpec",E34,0)</f>
        <v>0</v>
      </c>
      <c r="P34" s="12">
        <f>IF(SalaryCheckHome!$C$40="Doc",F34,0)</f>
        <v>0</v>
      </c>
      <c r="R34" s="10"/>
      <c r="S34" s="46"/>
    </row>
    <row r="35" spans="2:22" x14ac:dyDescent="0.25">
      <c r="B35" t="s">
        <v>34</v>
      </c>
      <c r="C35" s="10">
        <f t="shared" si="2"/>
        <v>39</v>
      </c>
      <c r="D35" s="10">
        <f t="shared" si="2"/>
        <v>39</v>
      </c>
      <c r="E35" s="10">
        <f t="shared" si="2"/>
        <v>3</v>
      </c>
      <c r="F35" s="10">
        <f t="shared" si="2"/>
        <v>3</v>
      </c>
      <c r="K35" t="s">
        <v>16</v>
      </c>
      <c r="L35" s="14">
        <f>L34*L33</f>
        <v>0</v>
      </c>
      <c r="R35" s="10"/>
      <c r="S35" s="46"/>
    </row>
    <row r="36" spans="2:22" x14ac:dyDescent="0.25">
      <c r="C36" s="43"/>
      <c r="D36" s="43"/>
      <c r="E36" s="43"/>
      <c r="F36" s="43"/>
      <c r="K36" t="s">
        <v>17</v>
      </c>
      <c r="L36" s="14">
        <f>L35+L32+L28</f>
        <v>54392</v>
      </c>
      <c r="R36" s="10"/>
      <c r="S36" s="46"/>
    </row>
    <row r="37" spans="2:22" x14ac:dyDescent="0.25">
      <c r="B37" t="s">
        <v>35</v>
      </c>
      <c r="C37" s="43">
        <f>C16</f>
        <v>0</v>
      </c>
      <c r="D37" s="43">
        <f>D16</f>
        <v>0</v>
      </c>
      <c r="E37" s="43">
        <f>E16</f>
        <v>0</v>
      </c>
      <c r="F37" s="43">
        <f>F16</f>
        <v>0</v>
      </c>
      <c r="K37" t="s">
        <v>18</v>
      </c>
      <c r="L37" s="17">
        <f>L16</f>
        <v>1</v>
      </c>
      <c r="R37" s="10"/>
      <c r="S37" s="46"/>
    </row>
    <row r="38" spans="2:22" x14ac:dyDescent="0.25">
      <c r="K38" t="s">
        <v>19</v>
      </c>
      <c r="L38" s="1">
        <f>L17</f>
        <v>0</v>
      </c>
      <c r="R38" s="10"/>
      <c r="S38" s="46"/>
    </row>
    <row r="39" spans="2:22" x14ac:dyDescent="0.25">
      <c r="K39" t="s">
        <v>20</v>
      </c>
      <c r="L39" s="14">
        <f>(L36*L37)+((L36/194)*L38)</f>
        <v>54392</v>
      </c>
      <c r="R39" s="10"/>
      <c r="S39" s="46"/>
    </row>
    <row r="40" spans="2:22" x14ac:dyDescent="0.25">
      <c r="L40" s="12"/>
      <c r="R40" s="10"/>
      <c r="S40" s="46"/>
    </row>
    <row r="41" spans="2:22" x14ac:dyDescent="0.25">
      <c r="L41" s="13"/>
      <c r="R41" s="10"/>
      <c r="S41" s="46"/>
    </row>
    <row r="42" spans="2:22" x14ac:dyDescent="0.25">
      <c r="L42" s="13"/>
      <c r="R42" s="10"/>
      <c r="S42" s="46"/>
    </row>
    <row r="43" spans="2:22" x14ac:dyDescent="0.25">
      <c r="L43" s="13"/>
      <c r="R43" s="10"/>
      <c r="S43" s="46"/>
    </row>
    <row r="44" spans="2:22" x14ac:dyDescent="0.25">
      <c r="K44" t="str">
        <f>K23</f>
        <v>2026-27 Salary</v>
      </c>
      <c r="L44" s="14">
        <f>MAX(L39,L23)</f>
        <v>54392</v>
      </c>
      <c r="M44" s="21">
        <f>(L44/L23)-1</f>
        <v>0</v>
      </c>
      <c r="R44" s="10"/>
      <c r="S44" s="46"/>
    </row>
    <row r="45" spans="2:22" x14ac:dyDescent="0.25">
      <c r="R45" s="10"/>
      <c r="S45" s="46"/>
    </row>
    <row r="46" spans="2:22" x14ac:dyDescent="0.25">
      <c r="R46" s="10"/>
      <c r="S46" s="46"/>
    </row>
    <row r="47" spans="2:22" x14ac:dyDescent="0.25">
      <c r="R47" s="10"/>
      <c r="S47" s="46"/>
    </row>
    <row r="48" spans="2:22" x14ac:dyDescent="0.25">
      <c r="R48" s="10"/>
      <c r="S48" s="46"/>
    </row>
    <row r="49" spans="18:19" x14ac:dyDescent="0.25">
      <c r="R49" s="10"/>
      <c r="S49" s="46"/>
    </row>
    <row r="50" spans="18:19" x14ac:dyDescent="0.25">
      <c r="R50" s="10"/>
      <c r="S50" s="46"/>
    </row>
    <row r="51" spans="18:19" x14ac:dyDescent="0.25">
      <c r="R51" s="10"/>
      <c r="S51" s="46"/>
    </row>
    <row r="52" spans="18:19" x14ac:dyDescent="0.25">
      <c r="R52" s="10"/>
      <c r="S52" s="46"/>
    </row>
    <row r="53" spans="18:19" x14ac:dyDescent="0.25">
      <c r="R53" s="10"/>
      <c r="S53" s="46"/>
    </row>
  </sheetData>
  <sheetProtection algorithmName="SHA-512" hashValue="hRm0JxeawQ78ODSIhJN9T2lupBW4grquebQXZmZQ45k6ixtQ2v2KruXVEMt2LhFaeeS8htU4iSZzoAtxHbY/ew==" saltValue="Ms6habo9rWPzKWZ2mJj0kw==" spinCount="100000" sheet="1" selectLockedCells="1" selectUnlockedCells="1"/>
  <mergeCells count="1">
    <mergeCell ref="B4:F4"/>
  </mergeCells>
  <pageMargins left="0.7" right="0.7" top="0.75" bottom="0.75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53"/>
  <sheetViews>
    <sheetView workbookViewId="0">
      <selection activeCell="L3" sqref="L3"/>
    </sheetView>
  </sheetViews>
  <sheetFormatPr defaultRowHeight="15" x14ac:dyDescent="0.25"/>
  <cols>
    <col min="2" max="2" width="20.7109375" customWidth="1"/>
    <col min="3" max="6" width="12.85546875" style="10" customWidth="1"/>
    <col min="7" max="10" width="2" customWidth="1"/>
    <col min="11" max="11" width="30.42578125" customWidth="1"/>
    <col min="12" max="12" width="15.140625" customWidth="1"/>
    <col min="13" max="13" width="12" customWidth="1"/>
    <col min="14" max="16" width="13" customWidth="1"/>
    <col min="17" max="17" width="13" style="10" customWidth="1"/>
    <col min="18" max="18" width="12" style="46" customWidth="1"/>
    <col min="19" max="19" width="12.28515625" customWidth="1"/>
    <col min="20" max="20" width="14" customWidth="1"/>
    <col min="21" max="21" width="12.28515625" customWidth="1"/>
    <col min="22" max="22" width="12.5703125" customWidth="1"/>
    <col min="23" max="26" width="9.140625" customWidth="1"/>
  </cols>
  <sheetData>
    <row r="1" spans="2:21" x14ac:dyDescent="0.25">
      <c r="K1" s="3" t="s">
        <v>50</v>
      </c>
      <c r="L1" s="72" t="s">
        <v>57</v>
      </c>
    </row>
    <row r="2" spans="2:21" x14ac:dyDescent="0.25">
      <c r="K2" s="4"/>
      <c r="L2" s="5" t="s">
        <v>91</v>
      </c>
    </row>
    <row r="3" spans="2:21" x14ac:dyDescent="0.25">
      <c r="K3" s="4"/>
      <c r="L3" s="5" t="s">
        <v>52</v>
      </c>
    </row>
    <row r="4" spans="2:21" x14ac:dyDescent="0.25">
      <c r="B4" s="100" t="s">
        <v>82</v>
      </c>
      <c r="C4" s="100"/>
      <c r="D4" s="100"/>
      <c r="E4" s="100"/>
      <c r="F4" s="100"/>
      <c r="K4" s="4"/>
      <c r="L4" s="69" t="s">
        <v>49</v>
      </c>
    </row>
    <row r="5" spans="2:21" x14ac:dyDescent="0.25">
      <c r="C5" s="43">
        <f>C8</f>
        <v>45015</v>
      </c>
      <c r="D5" s="43">
        <v>47280</v>
      </c>
      <c r="E5" s="43">
        <v>57200</v>
      </c>
      <c r="F5" s="43">
        <v>57220</v>
      </c>
      <c r="K5" s="18"/>
      <c r="L5" s="59" t="s">
        <v>51</v>
      </c>
    </row>
    <row r="6" spans="2:21" ht="45" x14ac:dyDescent="0.25">
      <c r="C6" s="10" t="s">
        <v>4</v>
      </c>
      <c r="D6" s="10" t="s">
        <v>5</v>
      </c>
      <c r="E6" s="10" t="s">
        <v>6</v>
      </c>
      <c r="F6" s="10" t="s">
        <v>7</v>
      </c>
      <c r="L6" s="15" t="s">
        <v>90</v>
      </c>
      <c r="M6" s="15" t="s">
        <v>4</v>
      </c>
      <c r="N6" s="15" t="s">
        <v>5</v>
      </c>
      <c r="O6" s="15" t="s">
        <v>6</v>
      </c>
      <c r="P6" s="15" t="s">
        <v>7</v>
      </c>
      <c r="Q6" s="10" t="s">
        <v>9</v>
      </c>
      <c r="R6" s="49" t="s">
        <v>39</v>
      </c>
      <c r="S6" s="50" t="s">
        <v>48</v>
      </c>
      <c r="T6" s="52">
        <v>18</v>
      </c>
    </row>
    <row r="7" spans="2:21" x14ac:dyDescent="0.25">
      <c r="B7" t="s">
        <v>29</v>
      </c>
      <c r="C7" s="43">
        <f>FORMULA!B3</f>
        <v>44550</v>
      </c>
      <c r="D7" s="43">
        <f>FORMULA!B4</f>
        <v>52310</v>
      </c>
      <c r="E7" s="43">
        <f>FORMULA!B5</f>
        <v>63115</v>
      </c>
      <c r="F7" s="43">
        <f>FORMULA!B6</f>
        <v>63115</v>
      </c>
      <c r="K7" t="s">
        <v>13</v>
      </c>
      <c r="L7" s="14">
        <f>MAX(M7:P8)</f>
        <v>52310</v>
      </c>
      <c r="M7" s="12">
        <f>IF(SalaryCheckHome!$C$16="BA",C7,0)</f>
        <v>0</v>
      </c>
      <c r="N7" s="12">
        <f>IF(SalaryCheckHome!$C$16="MA",D7,0)</f>
        <v>52310</v>
      </c>
      <c r="O7" s="12">
        <f>IF(SalaryCheckHome!$C$16="EDSpec",E7,0)</f>
        <v>0</v>
      </c>
      <c r="P7" s="12">
        <f>IF(SalaryCheckHome!$C$16="Doc",F7,0)</f>
        <v>0</v>
      </c>
    </row>
    <row r="8" spans="2:21" x14ac:dyDescent="0.25">
      <c r="B8" t="s">
        <v>36</v>
      </c>
      <c r="C8" s="45">
        <f>C7+C9</f>
        <v>45015</v>
      </c>
      <c r="D8" s="45">
        <f t="shared" ref="D8:F8" si="0">D7+D9</f>
        <v>53351</v>
      </c>
      <c r="E8" s="45">
        <f t="shared" si="0"/>
        <v>64176</v>
      </c>
      <c r="F8" s="45">
        <f t="shared" si="0"/>
        <v>64196</v>
      </c>
      <c r="K8" t="s">
        <v>8</v>
      </c>
      <c r="L8" s="13">
        <f>MAX(M8:P9)</f>
        <v>1041</v>
      </c>
      <c r="M8" s="12">
        <f>IF(SalaryCheckHome!$C$16="BA",C9,0)</f>
        <v>0</v>
      </c>
      <c r="N8" s="12">
        <f>IF(SalaryCheckHome!$C$16="MA",D9,0)</f>
        <v>1041</v>
      </c>
      <c r="O8" s="12">
        <f>IF(SalaryCheckHome!$C$16="EDSpec",E9,0)</f>
        <v>0</v>
      </c>
      <c r="P8" s="12">
        <f>IF(SalaryCheckHome!$C$16="Doc",F9,0)</f>
        <v>0</v>
      </c>
    </row>
    <row r="9" spans="2:21" x14ac:dyDescent="0.25">
      <c r="B9" t="s">
        <v>30</v>
      </c>
      <c r="C9" s="43">
        <f>FORMULA!C3</f>
        <v>465</v>
      </c>
      <c r="D9" s="43">
        <f>FORMULA!C4</f>
        <v>1041</v>
      </c>
      <c r="E9" s="43">
        <f>FORMULA!C5</f>
        <v>1061</v>
      </c>
      <c r="F9" s="43">
        <f>FORMULA!C6</f>
        <v>1081</v>
      </c>
      <c r="K9" t="s">
        <v>10</v>
      </c>
      <c r="L9" s="1">
        <f>MIN(Q9:R9)</f>
        <v>0</v>
      </c>
      <c r="M9">
        <f>IF(SalaryCheckHome!$C$16="BA",C10,0)</f>
        <v>0</v>
      </c>
      <c r="N9">
        <f>IF(SalaryCheckHome!$C$16="MA",D10,0)</f>
        <v>14</v>
      </c>
      <c r="O9">
        <f>IF(SalaryCheckHome!$C$16="EDSpec",E10,0)</f>
        <v>0</v>
      </c>
      <c r="P9">
        <f>IF(SalaryCheckHome!$C$16="Doc",F10,0)</f>
        <v>0</v>
      </c>
      <c r="Q9" s="10">
        <f>MAX(M9:P9)</f>
        <v>14</v>
      </c>
      <c r="R9" s="46">
        <f>SalaryCheckHome!G11</f>
        <v>0</v>
      </c>
    </row>
    <row r="10" spans="2:21" x14ac:dyDescent="0.25">
      <c r="B10" t="s">
        <v>31</v>
      </c>
      <c r="C10" s="10">
        <v>8</v>
      </c>
      <c r="D10" s="73">
        <v>14</v>
      </c>
      <c r="E10" s="73">
        <v>14</v>
      </c>
      <c r="F10" s="73">
        <v>14</v>
      </c>
      <c r="K10" t="s">
        <v>11</v>
      </c>
      <c r="L10" s="1">
        <f>MIN(Q10:R10)</f>
        <v>2</v>
      </c>
      <c r="M10">
        <f>IF(SalaryCheckHome!$C$16="BA",C11,0)</f>
        <v>0</v>
      </c>
      <c r="N10">
        <f>IF(SalaryCheckHome!$C$16="MA",D11,0)</f>
        <v>25</v>
      </c>
      <c r="O10">
        <f>IF(SalaryCheckHome!$C$16="EDSpec",E11,0)</f>
        <v>0</v>
      </c>
      <c r="P10">
        <f>IF(SalaryCheckHome!$C$16="Doc",F11,0)</f>
        <v>0</v>
      </c>
      <c r="Q10" s="10">
        <f>MAX(M10:P10)</f>
        <v>25</v>
      </c>
      <c r="R10" s="46">
        <f>L9+SalaryCheckHome!C11</f>
        <v>2</v>
      </c>
    </row>
    <row r="11" spans="2:21" x14ac:dyDescent="0.25">
      <c r="B11" t="s">
        <v>32</v>
      </c>
      <c r="C11" s="10">
        <v>8</v>
      </c>
      <c r="D11" s="10">
        <v>25</v>
      </c>
      <c r="E11" s="10">
        <v>25</v>
      </c>
      <c r="F11" s="10">
        <v>25</v>
      </c>
      <c r="K11" t="s">
        <v>12</v>
      </c>
      <c r="L11" s="14">
        <f>L8*L10</f>
        <v>2082</v>
      </c>
    </row>
    <row r="12" spans="2:21" x14ac:dyDescent="0.25">
      <c r="K12" t="s">
        <v>14</v>
      </c>
      <c r="L12" s="1">
        <f>MIN(Q12:U12)</f>
        <v>0</v>
      </c>
      <c r="M12">
        <f>IF(SalaryCheckHome!$C$16="BA",C14,0)</f>
        <v>0</v>
      </c>
      <c r="N12">
        <f>IF(SalaryCheckHome!$C$16="MA",D14,0)</f>
        <v>39</v>
      </c>
      <c r="O12">
        <f>IF(SalaryCheckHome!$C$16="EDSpec",E14,0)</f>
        <v>0</v>
      </c>
      <c r="P12">
        <f>IF(SalaryCheckHome!$C$16="Doc",F14,0)</f>
        <v>0</v>
      </c>
      <c r="Q12" s="10">
        <f>MAX(M12:P12)</f>
        <v>39</v>
      </c>
      <c r="R12" s="49">
        <f>SalaryCheckHome!G16</f>
        <v>0</v>
      </c>
      <c r="S12" s="10"/>
      <c r="T12" s="10"/>
      <c r="U12" s="10"/>
    </row>
    <row r="13" spans="2:21" x14ac:dyDescent="0.25">
      <c r="B13" t="s">
        <v>33</v>
      </c>
      <c r="C13" s="43">
        <f>FORMULA!L3</f>
        <v>195</v>
      </c>
      <c r="D13" s="43">
        <f>FORMULA!L4</f>
        <v>290</v>
      </c>
      <c r="E13" s="43">
        <f>FORMULA!L5</f>
        <v>290</v>
      </c>
      <c r="F13" s="43">
        <f>FORMULA!L6</f>
        <v>290</v>
      </c>
      <c r="K13" t="s">
        <v>15</v>
      </c>
      <c r="L13" s="13">
        <f>MAX(M13:P14)</f>
        <v>290</v>
      </c>
      <c r="M13" s="12">
        <f>IF(SalaryCheckHome!$C$16="BA",C13,0)</f>
        <v>0</v>
      </c>
      <c r="N13" s="12">
        <f>IF(SalaryCheckHome!$C$16="MA",D13,0)</f>
        <v>290</v>
      </c>
      <c r="O13" s="12">
        <f>IF(SalaryCheckHome!$C$16="EDSpec",E13,0)</f>
        <v>0</v>
      </c>
      <c r="P13" s="12">
        <f>IF(SalaryCheckHome!$C$16="Doc",F13,0)</f>
        <v>0</v>
      </c>
    </row>
    <row r="14" spans="2:21" x14ac:dyDescent="0.25">
      <c r="B14" t="s">
        <v>34</v>
      </c>
      <c r="C14" s="10">
        <v>39</v>
      </c>
      <c r="D14" s="10">
        <v>39</v>
      </c>
      <c r="E14" s="10">
        <v>3</v>
      </c>
      <c r="F14" s="10">
        <v>3</v>
      </c>
      <c r="K14" t="s">
        <v>16</v>
      </c>
      <c r="L14" s="14">
        <f>L13*L12</f>
        <v>0</v>
      </c>
    </row>
    <row r="15" spans="2:21" x14ac:dyDescent="0.25">
      <c r="K15" t="s">
        <v>17</v>
      </c>
      <c r="L15" s="14">
        <f>L14+L11+L7</f>
        <v>54392</v>
      </c>
    </row>
    <row r="16" spans="2:21" x14ac:dyDescent="0.25">
      <c r="B16" t="s">
        <v>35</v>
      </c>
      <c r="C16" s="44">
        <v>0</v>
      </c>
      <c r="K16" t="s">
        <v>18</v>
      </c>
      <c r="L16" s="17">
        <f>SalaryCheckHome!C19</f>
        <v>1</v>
      </c>
      <c r="M16" t="s">
        <v>56</v>
      </c>
    </row>
    <row r="17" spans="2:22" x14ac:dyDescent="0.25">
      <c r="B17" t="s">
        <v>58</v>
      </c>
      <c r="C17" s="10">
        <v>192</v>
      </c>
      <c r="K17" t="s">
        <v>19</v>
      </c>
      <c r="L17" s="1">
        <f>SalaryCheckHome!G19</f>
        <v>0</v>
      </c>
      <c r="M17" s="10">
        <f>C17+L17</f>
        <v>192</v>
      </c>
    </row>
    <row r="18" spans="2:22" x14ac:dyDescent="0.25">
      <c r="K18" t="s">
        <v>20</v>
      </c>
      <c r="L18" s="14">
        <f>L15*L16*(M17/C17)</f>
        <v>54392</v>
      </c>
      <c r="M18" s="12">
        <f>L15*L16*(M17/C17)</f>
        <v>54392</v>
      </c>
    </row>
    <row r="19" spans="2:22" x14ac:dyDescent="0.25">
      <c r="L19" s="12"/>
    </row>
    <row r="20" spans="2:22" x14ac:dyDescent="0.25">
      <c r="K20" t="s">
        <v>87</v>
      </c>
      <c r="L20" s="13">
        <f>SalaryCheckHome!C7</f>
        <v>52510</v>
      </c>
    </row>
    <row r="21" spans="2:22" x14ac:dyDescent="0.25">
      <c r="K21" t="s">
        <v>88</v>
      </c>
      <c r="L21" s="13">
        <f>L18</f>
        <v>54392</v>
      </c>
    </row>
    <row r="22" spans="2:22" x14ac:dyDescent="0.25">
      <c r="K22" t="s">
        <v>89</v>
      </c>
      <c r="L22" s="13">
        <f>L20+C16</f>
        <v>52510</v>
      </c>
    </row>
    <row r="23" spans="2:22" x14ac:dyDescent="0.25">
      <c r="K23" t="str">
        <f>L6</f>
        <v>2026-27 Salary</v>
      </c>
      <c r="L23" s="14">
        <f>MAX(L21:L22)</f>
        <v>54392</v>
      </c>
      <c r="M23" s="21">
        <f>(L23/L20)-1</f>
        <v>3.5840792230051433E-2</v>
      </c>
    </row>
    <row r="24" spans="2:22" x14ac:dyDescent="0.25">
      <c r="M24" s="21"/>
    </row>
    <row r="26" spans="2:22" x14ac:dyDescent="0.25">
      <c r="R26" s="10"/>
      <c r="S26" s="46"/>
    </row>
    <row r="27" spans="2:22" ht="60" x14ac:dyDescent="0.25">
      <c r="C27" s="10" t="s">
        <v>4</v>
      </c>
      <c r="D27" s="10" t="s">
        <v>5</v>
      </c>
      <c r="E27" s="10" t="s">
        <v>6</v>
      </c>
      <c r="F27" s="10" t="s">
        <v>7</v>
      </c>
      <c r="L27" s="15" t="str">
        <f>L6</f>
        <v>2026-27 Salary</v>
      </c>
      <c r="M27" s="15" t="s">
        <v>4</v>
      </c>
      <c r="N27" s="15" t="s">
        <v>5</v>
      </c>
      <c r="O27" s="15" t="s">
        <v>6</v>
      </c>
      <c r="P27" s="15" t="s">
        <v>7</v>
      </c>
      <c r="Q27" s="10" t="s">
        <v>9</v>
      </c>
      <c r="R27" s="49" t="s">
        <v>45</v>
      </c>
      <c r="S27" s="50" t="s">
        <v>46</v>
      </c>
      <c r="T27" s="51" t="s">
        <v>47</v>
      </c>
      <c r="U27" s="51" t="s">
        <v>44</v>
      </c>
      <c r="V27" s="51" t="s">
        <v>38</v>
      </c>
    </row>
    <row r="28" spans="2:22" x14ac:dyDescent="0.25">
      <c r="B28" t="s">
        <v>29</v>
      </c>
      <c r="C28" s="43">
        <f>C7</f>
        <v>44550</v>
      </c>
      <c r="D28" s="43">
        <f>D7</f>
        <v>52310</v>
      </c>
      <c r="E28" s="43">
        <f>E7</f>
        <v>63115</v>
      </c>
      <c r="F28" s="43">
        <f>F7</f>
        <v>63115</v>
      </c>
      <c r="K28" t="s">
        <v>13</v>
      </c>
      <c r="L28" s="14">
        <f>MAX(M28:P29)</f>
        <v>52310</v>
      </c>
      <c r="M28" s="12">
        <f>IF(SalaryCheckHome!$C$40="BA",C28,0)</f>
        <v>0</v>
      </c>
      <c r="N28" s="12">
        <f>IF(SalaryCheckHome!$C$40="MA",D28,0)</f>
        <v>52310</v>
      </c>
      <c r="O28" s="12">
        <f>IF(SalaryCheckHome!$C$40="EDSpec",E28,0)</f>
        <v>0</v>
      </c>
      <c r="P28" s="12">
        <f>IF(SalaryCheckHome!$C$40="Doc",F28,0)</f>
        <v>0</v>
      </c>
      <c r="R28"/>
      <c r="S28" s="46"/>
    </row>
    <row r="29" spans="2:22" x14ac:dyDescent="0.25">
      <c r="C29" s="43"/>
      <c r="D29" s="43"/>
      <c r="E29" s="43"/>
      <c r="F29" s="43"/>
      <c r="K29" t="s">
        <v>8</v>
      </c>
      <c r="L29" s="13">
        <f>MAX(M29:P30)</f>
        <v>1041</v>
      </c>
      <c r="M29" s="12">
        <f>IF(SalaryCheckHome!$C$40="BA",C30,0)</f>
        <v>0</v>
      </c>
      <c r="N29" s="12">
        <f>IF(SalaryCheckHome!$C$40="MA",D30,0)</f>
        <v>1041</v>
      </c>
      <c r="O29" s="12">
        <f>IF(SalaryCheckHome!$C$40="EDSpec",E30,0)</f>
        <v>0</v>
      </c>
      <c r="P29" s="12">
        <f>IF(SalaryCheckHome!$C$40="Doc",F30,0)</f>
        <v>0</v>
      </c>
      <c r="R29"/>
      <c r="S29" s="46"/>
    </row>
    <row r="30" spans="2:22" x14ac:dyDescent="0.25">
      <c r="B30" t="s">
        <v>30</v>
      </c>
      <c r="C30" s="43">
        <f t="shared" ref="C30:F32" si="1">C9</f>
        <v>465</v>
      </c>
      <c r="D30" s="43">
        <f t="shared" si="1"/>
        <v>1041</v>
      </c>
      <c r="E30" s="43">
        <f t="shared" si="1"/>
        <v>1061</v>
      </c>
      <c r="F30" s="43">
        <f t="shared" si="1"/>
        <v>1081</v>
      </c>
      <c r="K30" t="s">
        <v>10</v>
      </c>
      <c r="L30" s="1">
        <f>L9</f>
        <v>0</v>
      </c>
      <c r="R30"/>
      <c r="S30" s="46"/>
    </row>
    <row r="31" spans="2:22" x14ac:dyDescent="0.25">
      <c r="B31" t="s">
        <v>31</v>
      </c>
      <c r="C31" s="10">
        <f t="shared" si="1"/>
        <v>8</v>
      </c>
      <c r="D31" s="10">
        <f t="shared" si="1"/>
        <v>14</v>
      </c>
      <c r="E31" s="10">
        <f t="shared" si="1"/>
        <v>14</v>
      </c>
      <c r="F31" s="10">
        <f t="shared" si="1"/>
        <v>14</v>
      </c>
      <c r="K31" t="s">
        <v>11</v>
      </c>
      <c r="L31" s="1">
        <f>L10</f>
        <v>2</v>
      </c>
      <c r="R31"/>
      <c r="S31" s="46"/>
    </row>
    <row r="32" spans="2:22" x14ac:dyDescent="0.25">
      <c r="B32" t="s">
        <v>32</v>
      </c>
      <c r="C32" s="10">
        <f t="shared" si="1"/>
        <v>8</v>
      </c>
      <c r="D32" s="10">
        <f t="shared" si="1"/>
        <v>25</v>
      </c>
      <c r="E32" s="10">
        <f t="shared" si="1"/>
        <v>25</v>
      </c>
      <c r="F32" s="10">
        <f t="shared" si="1"/>
        <v>25</v>
      </c>
      <c r="K32" t="s">
        <v>12</v>
      </c>
      <c r="L32" s="14">
        <f>L29*L31</f>
        <v>2082</v>
      </c>
      <c r="R32"/>
      <c r="S32" s="46"/>
    </row>
    <row r="33" spans="2:22" x14ac:dyDescent="0.25">
      <c r="C33" s="43"/>
      <c r="D33" s="43"/>
      <c r="E33" s="43"/>
      <c r="F33" s="43"/>
      <c r="K33" t="s">
        <v>14</v>
      </c>
      <c r="L33" s="1">
        <f>MIN(Q33:R33)</f>
        <v>0</v>
      </c>
      <c r="M33">
        <f>IF(SalaryCheckHome!$C$40="BA",C35,0)</f>
        <v>0</v>
      </c>
      <c r="N33">
        <f>IF(SalaryCheckHome!$C$40="MA",D35,0)</f>
        <v>39</v>
      </c>
      <c r="O33">
        <f>IF(SalaryCheckHome!$C$40="EDSpec",E35,0)</f>
        <v>0</v>
      </c>
      <c r="P33">
        <f>IF(SalaryCheckHome!$C$40="Doc",F35,0)</f>
        <v>0</v>
      </c>
      <c r="Q33" s="10">
        <f>MAX(M33:P33)</f>
        <v>39</v>
      </c>
      <c r="R33" s="10">
        <f>MAX(Q312,V33)</f>
        <v>0</v>
      </c>
      <c r="S33" s="50">
        <f>SalaryCheckHome!G40</f>
        <v>0</v>
      </c>
      <c r="T33" s="48">
        <f>(S33-R12)</f>
        <v>0</v>
      </c>
      <c r="U33" s="48">
        <f>MIN((T33+R12),(R12+18))</f>
        <v>0</v>
      </c>
      <c r="V33" s="48">
        <f xml:space="preserve"> IF(U33=0,0,IF(U33&gt;=39,39,IF(U33&gt;=36,36,IF(U33=36,36,(IF(U33&gt;=27,27,(IF(U33&gt;=18,18,(IF(U33&gt;=9,9,0))))))))))</f>
        <v>0</v>
      </c>
    </row>
    <row r="34" spans="2:22" x14ac:dyDescent="0.25">
      <c r="B34" t="s">
        <v>33</v>
      </c>
      <c r="C34" s="43">
        <f t="shared" ref="C34:F35" si="2">C13</f>
        <v>195</v>
      </c>
      <c r="D34" s="43">
        <f t="shared" si="2"/>
        <v>290</v>
      </c>
      <c r="E34" s="43">
        <f t="shared" si="2"/>
        <v>290</v>
      </c>
      <c r="F34" s="43">
        <f t="shared" si="2"/>
        <v>290</v>
      </c>
      <c r="K34" t="s">
        <v>15</v>
      </c>
      <c r="L34" s="13">
        <f>MAX(M34:P35)</f>
        <v>290</v>
      </c>
      <c r="M34" s="12">
        <f>IF(SalaryCheckHome!$C$40="BA",C34,0)</f>
        <v>0</v>
      </c>
      <c r="N34" s="12">
        <f>IF(SalaryCheckHome!$C$40="MA",D34,0)</f>
        <v>290</v>
      </c>
      <c r="O34" s="12">
        <f>IF(SalaryCheckHome!$C$40="EDSpec",E34,0)</f>
        <v>0</v>
      </c>
      <c r="P34" s="12">
        <f>IF(SalaryCheckHome!$C$40="Doc",F34,0)</f>
        <v>0</v>
      </c>
      <c r="R34" s="10"/>
      <c r="S34" s="46"/>
    </row>
    <row r="35" spans="2:22" x14ac:dyDescent="0.25">
      <c r="B35" t="s">
        <v>34</v>
      </c>
      <c r="C35" s="10">
        <f t="shared" si="2"/>
        <v>39</v>
      </c>
      <c r="D35" s="10">
        <f t="shared" si="2"/>
        <v>39</v>
      </c>
      <c r="E35" s="10">
        <f t="shared" si="2"/>
        <v>3</v>
      </c>
      <c r="F35" s="10">
        <f t="shared" si="2"/>
        <v>3</v>
      </c>
      <c r="K35" t="s">
        <v>16</v>
      </c>
      <c r="L35" s="14">
        <f>L34*L33</f>
        <v>0</v>
      </c>
      <c r="R35" s="10"/>
      <c r="S35" s="46"/>
    </row>
    <row r="36" spans="2:22" x14ac:dyDescent="0.25">
      <c r="C36" s="43"/>
      <c r="D36" s="43"/>
      <c r="E36" s="43"/>
      <c r="F36" s="43"/>
      <c r="K36" t="s">
        <v>17</v>
      </c>
      <c r="L36" s="14">
        <f>L35+L32+L28</f>
        <v>54392</v>
      </c>
      <c r="R36" s="10"/>
      <c r="S36" s="46"/>
    </row>
    <row r="37" spans="2:22" x14ac:dyDescent="0.25">
      <c r="B37" t="s">
        <v>35</v>
      </c>
      <c r="C37" s="43">
        <f>C16</f>
        <v>0</v>
      </c>
      <c r="D37" s="43">
        <f>D16</f>
        <v>0</v>
      </c>
      <c r="E37" s="43">
        <f>E16</f>
        <v>0</v>
      </c>
      <c r="F37" s="43">
        <f>F16</f>
        <v>0</v>
      </c>
      <c r="K37" t="s">
        <v>18</v>
      </c>
      <c r="L37" s="17">
        <f>L16</f>
        <v>1</v>
      </c>
      <c r="R37" s="10"/>
      <c r="S37" s="46"/>
    </row>
    <row r="38" spans="2:22" x14ac:dyDescent="0.25">
      <c r="K38" t="s">
        <v>19</v>
      </c>
      <c r="L38" s="1">
        <f>L17</f>
        <v>0</v>
      </c>
      <c r="R38" s="10"/>
      <c r="S38" s="46"/>
    </row>
    <row r="39" spans="2:22" x14ac:dyDescent="0.25">
      <c r="K39" t="s">
        <v>20</v>
      </c>
      <c r="L39" s="14">
        <f>(L36*L37)+((L36/194)*L38)</f>
        <v>54392</v>
      </c>
      <c r="R39" s="10"/>
      <c r="S39" s="46"/>
    </row>
    <row r="40" spans="2:22" x14ac:dyDescent="0.25">
      <c r="L40" s="12"/>
      <c r="R40" s="10"/>
      <c r="S40" s="46"/>
    </row>
    <row r="41" spans="2:22" x14ac:dyDescent="0.25">
      <c r="L41" s="13"/>
      <c r="R41" s="10"/>
      <c r="S41" s="46"/>
    </row>
    <row r="42" spans="2:22" x14ac:dyDescent="0.25">
      <c r="L42" s="13"/>
      <c r="R42" s="10"/>
      <c r="S42" s="46"/>
    </row>
    <row r="43" spans="2:22" x14ac:dyDescent="0.25">
      <c r="L43" s="13"/>
      <c r="R43" s="10"/>
      <c r="S43" s="46"/>
    </row>
    <row r="44" spans="2:22" x14ac:dyDescent="0.25">
      <c r="K44" t="str">
        <f>K23</f>
        <v>2026-27 Salary</v>
      </c>
      <c r="L44" s="14">
        <f>MAX(L39,L23)</f>
        <v>54392</v>
      </c>
      <c r="M44" s="21">
        <f>(L44/L23)-1</f>
        <v>0</v>
      </c>
      <c r="R44" s="10"/>
      <c r="S44" s="46"/>
    </row>
    <row r="45" spans="2:22" x14ac:dyDescent="0.25">
      <c r="R45" s="10"/>
      <c r="S45" s="46"/>
    </row>
    <row r="46" spans="2:22" x14ac:dyDescent="0.25">
      <c r="R46" s="10"/>
      <c r="S46" s="46"/>
    </row>
    <row r="47" spans="2:22" x14ac:dyDescent="0.25">
      <c r="R47" s="10"/>
      <c r="S47" s="46"/>
    </row>
    <row r="48" spans="2:22" x14ac:dyDescent="0.25">
      <c r="R48" s="10"/>
      <c r="S48" s="46"/>
    </row>
    <row r="49" spans="18:19" x14ac:dyDescent="0.25">
      <c r="R49" s="10"/>
      <c r="S49" s="46"/>
    </row>
    <row r="50" spans="18:19" x14ac:dyDescent="0.25">
      <c r="R50" s="10"/>
      <c r="S50" s="46"/>
    </row>
    <row r="51" spans="18:19" x14ac:dyDescent="0.25">
      <c r="R51" s="10"/>
      <c r="S51" s="46"/>
    </row>
    <row r="52" spans="18:19" x14ac:dyDescent="0.25">
      <c r="R52" s="10"/>
      <c r="S52" s="46"/>
    </row>
    <row r="53" spans="18:19" x14ac:dyDescent="0.25">
      <c r="R53" s="10"/>
      <c r="S53" s="46"/>
    </row>
  </sheetData>
  <sheetProtection algorithmName="SHA-512" hashValue="Hz/z08NMaisbo4S2nk72MqJcKi7OwEPx7qy88zupXyw9kYJawtPNEE4j9QzTgHt0rQi0wFkAYr4SHkBgRTchQQ==" saltValue="S6FFyxur6Ajm62z/dt409A==" spinCount="100000" sheet="1" selectLockedCells="1" selectUnlockedCells="1"/>
  <mergeCells count="1">
    <mergeCell ref="B4:F4"/>
  </mergeCells>
  <pageMargins left="0.7" right="0.7" top="0.75" bottom="0.75" header="0.3" footer="0.3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A6D6-0EF2-4B45-A7A7-40F47DCB0592}">
  <dimension ref="B1:V53"/>
  <sheetViews>
    <sheetView workbookViewId="0">
      <selection activeCell="L3" sqref="L3"/>
    </sheetView>
  </sheetViews>
  <sheetFormatPr defaultRowHeight="15" x14ac:dyDescent="0.25"/>
  <cols>
    <col min="2" max="2" width="20.7109375" customWidth="1"/>
    <col min="3" max="6" width="12.85546875" style="10" customWidth="1"/>
    <col min="7" max="10" width="2" customWidth="1"/>
    <col min="11" max="11" width="30.42578125" customWidth="1"/>
    <col min="12" max="12" width="15.140625" customWidth="1"/>
    <col min="13" max="13" width="12" customWidth="1"/>
    <col min="14" max="16" width="13" customWidth="1"/>
    <col min="17" max="17" width="13" style="10" customWidth="1"/>
    <col min="18" max="18" width="12" style="46" customWidth="1"/>
    <col min="19" max="19" width="12.85546875" customWidth="1"/>
    <col min="20" max="20" width="17.7109375" customWidth="1"/>
    <col min="21" max="21" width="11.5703125" customWidth="1"/>
    <col min="22" max="22" width="12.5703125" customWidth="1"/>
    <col min="23" max="26" width="9.140625" customWidth="1"/>
  </cols>
  <sheetData>
    <row r="1" spans="2:21" x14ac:dyDescent="0.25">
      <c r="K1" s="3" t="s">
        <v>50</v>
      </c>
      <c r="L1" s="72" t="s">
        <v>57</v>
      </c>
    </row>
    <row r="2" spans="2:21" x14ac:dyDescent="0.25">
      <c r="K2" s="4"/>
      <c r="L2" s="5" t="s">
        <v>91</v>
      </c>
    </row>
    <row r="3" spans="2:21" x14ac:dyDescent="0.25">
      <c r="K3" s="4"/>
      <c r="L3" s="69" t="s">
        <v>52</v>
      </c>
    </row>
    <row r="4" spans="2:21" x14ac:dyDescent="0.25">
      <c r="B4" s="100" t="s">
        <v>85</v>
      </c>
      <c r="C4" s="100"/>
      <c r="D4" s="100"/>
      <c r="E4" s="100"/>
      <c r="F4" s="100"/>
      <c r="K4" s="4"/>
      <c r="L4" s="68" t="s">
        <v>49</v>
      </c>
    </row>
    <row r="5" spans="2:21" x14ac:dyDescent="0.25">
      <c r="C5" s="43">
        <f>C8</f>
        <v>45015</v>
      </c>
      <c r="D5" s="43">
        <v>47280</v>
      </c>
      <c r="E5" s="43">
        <v>57200</v>
      </c>
      <c r="F5" s="43">
        <v>57220</v>
      </c>
      <c r="K5" s="18"/>
      <c r="L5" s="59" t="s">
        <v>51</v>
      </c>
    </row>
    <row r="6" spans="2:21" ht="45" x14ac:dyDescent="0.25">
      <c r="C6" s="10" t="s">
        <v>4</v>
      </c>
      <c r="D6" s="10" t="s">
        <v>5</v>
      </c>
      <c r="E6" s="10" t="s">
        <v>6</v>
      </c>
      <c r="F6" s="10" t="s">
        <v>7</v>
      </c>
      <c r="L6" s="15" t="s">
        <v>90</v>
      </c>
      <c r="M6" s="15" t="s">
        <v>4</v>
      </c>
      <c r="N6" s="15" t="s">
        <v>5</v>
      </c>
      <c r="O6" s="15" t="s">
        <v>6</v>
      </c>
      <c r="P6" s="15" t="s">
        <v>7</v>
      </c>
      <c r="Q6" s="10" t="s">
        <v>9</v>
      </c>
      <c r="R6" s="49" t="s">
        <v>39</v>
      </c>
      <c r="S6" s="50" t="s">
        <v>48</v>
      </c>
      <c r="T6" s="52">
        <v>18</v>
      </c>
    </row>
    <row r="7" spans="2:21" x14ac:dyDescent="0.25">
      <c r="B7" t="s">
        <v>29</v>
      </c>
      <c r="C7" s="43">
        <f>FORMULA!B3</f>
        <v>44550</v>
      </c>
      <c r="D7" s="43">
        <f>FORMULA!B4</f>
        <v>52310</v>
      </c>
      <c r="E7" s="43">
        <f>FORMULA!B5</f>
        <v>63115</v>
      </c>
      <c r="F7" s="43">
        <f>FORMULA!B6</f>
        <v>63115</v>
      </c>
      <c r="K7" t="s">
        <v>13</v>
      </c>
      <c r="L7" s="14">
        <f>MAX(M7:P8)</f>
        <v>52310</v>
      </c>
      <c r="M7" s="12">
        <f>IF(SalaryCheckHome!$C$16="BA",C7,0)</f>
        <v>0</v>
      </c>
      <c r="N7" s="12">
        <f>IF(SalaryCheckHome!$C$16="MA",D7,0)</f>
        <v>52310</v>
      </c>
      <c r="O7" s="12">
        <f>IF(SalaryCheckHome!$C$16="EDSpec",E7,0)</f>
        <v>0</v>
      </c>
      <c r="P7" s="12">
        <f>IF(SalaryCheckHome!$C$16="Doc",F7,0)</f>
        <v>0</v>
      </c>
    </row>
    <row r="8" spans="2:21" x14ac:dyDescent="0.25">
      <c r="B8" t="s">
        <v>36</v>
      </c>
      <c r="C8" s="45">
        <f>C7+C9</f>
        <v>45015</v>
      </c>
      <c r="D8" s="45">
        <f t="shared" ref="D8:F8" si="0">D7+D9</f>
        <v>53351</v>
      </c>
      <c r="E8" s="45">
        <f t="shared" si="0"/>
        <v>64176</v>
      </c>
      <c r="F8" s="45">
        <f t="shared" si="0"/>
        <v>64196</v>
      </c>
      <c r="K8" t="s">
        <v>8</v>
      </c>
      <c r="L8" s="13">
        <f>MAX(M8:P9)</f>
        <v>1041</v>
      </c>
      <c r="M8" s="12">
        <f>IF(SalaryCheckHome!$C$16="BA",C9,0)</f>
        <v>0</v>
      </c>
      <c r="N8" s="12">
        <f>IF(SalaryCheckHome!$C$16="MA",D9,0)</f>
        <v>1041</v>
      </c>
      <c r="O8" s="12">
        <f>IF(SalaryCheckHome!$C$16="EDSpec",E9,0)</f>
        <v>0</v>
      </c>
      <c r="P8" s="12">
        <f>IF(SalaryCheckHome!$C$16="Doc",F9,0)</f>
        <v>0</v>
      </c>
    </row>
    <row r="9" spans="2:21" x14ac:dyDescent="0.25">
      <c r="B9" t="s">
        <v>30</v>
      </c>
      <c r="C9" s="43">
        <f>FORMULA!C3</f>
        <v>465</v>
      </c>
      <c r="D9" s="43">
        <f>FORMULA!C4</f>
        <v>1041</v>
      </c>
      <c r="E9" s="43">
        <f>FORMULA!C5</f>
        <v>1061</v>
      </c>
      <c r="F9" s="43">
        <f>FORMULA!C6</f>
        <v>1081</v>
      </c>
      <c r="K9" t="s">
        <v>10</v>
      </c>
      <c r="L9" s="1">
        <f>MIN(Q9:R9)</f>
        <v>0</v>
      </c>
      <c r="M9">
        <f>IF(SalaryCheckHome!$C$16="BA",C10,0)</f>
        <v>0</v>
      </c>
      <c r="N9">
        <f>IF(SalaryCheckHome!$C$16="MA",D10,0)</f>
        <v>15</v>
      </c>
      <c r="O9">
        <f>IF(SalaryCheckHome!$C$16="EDSpec",E10,0)</f>
        <v>0</v>
      </c>
      <c r="P9">
        <f>IF(SalaryCheckHome!$C$16="Doc",F10,0)</f>
        <v>0</v>
      </c>
      <c r="Q9" s="10">
        <f>MAX(M9:P9)</f>
        <v>15</v>
      </c>
      <c r="R9" s="46">
        <f>SalaryCheckHome!G11</f>
        <v>0</v>
      </c>
    </row>
    <row r="10" spans="2:21" x14ac:dyDescent="0.25">
      <c r="B10" t="s">
        <v>31</v>
      </c>
      <c r="C10" s="10">
        <v>8</v>
      </c>
      <c r="D10" s="73">
        <v>15</v>
      </c>
      <c r="E10" s="73">
        <v>15</v>
      </c>
      <c r="F10" s="73">
        <v>15</v>
      </c>
      <c r="K10" t="s">
        <v>11</v>
      </c>
      <c r="L10" s="1">
        <f>MIN(Q10:R10)</f>
        <v>2</v>
      </c>
      <c r="M10">
        <f>IF(SalaryCheckHome!$C$16="BA",C11,0)</f>
        <v>0</v>
      </c>
      <c r="N10">
        <f>IF(SalaryCheckHome!$C$16="MA",D11,0)</f>
        <v>25</v>
      </c>
      <c r="O10">
        <f>IF(SalaryCheckHome!$C$16="EDSpec",E11,0)</f>
        <v>0</v>
      </c>
      <c r="P10">
        <f>IF(SalaryCheckHome!$C$16="Doc",F11,0)</f>
        <v>0</v>
      </c>
      <c r="Q10" s="10">
        <f>MAX(M10:P10)</f>
        <v>25</v>
      </c>
      <c r="R10" s="46">
        <f>L9+SalaryCheckHome!C11</f>
        <v>2</v>
      </c>
    </row>
    <row r="11" spans="2:21" x14ac:dyDescent="0.25">
      <c r="B11" t="s">
        <v>32</v>
      </c>
      <c r="C11" s="10">
        <v>8</v>
      </c>
      <c r="D11" s="10">
        <v>25</v>
      </c>
      <c r="E11" s="10">
        <v>25</v>
      </c>
      <c r="F11" s="10">
        <v>25</v>
      </c>
      <c r="K11" t="s">
        <v>12</v>
      </c>
      <c r="L11" s="14">
        <f>L8*L10</f>
        <v>2082</v>
      </c>
    </row>
    <row r="12" spans="2:21" x14ac:dyDescent="0.25">
      <c r="K12" t="s">
        <v>14</v>
      </c>
      <c r="L12" s="1">
        <f>MIN(Q12:U12)</f>
        <v>0</v>
      </c>
      <c r="M12">
        <f>IF(SalaryCheckHome!$C$16="BA",C14,0)</f>
        <v>0</v>
      </c>
      <c r="N12">
        <f>IF(SalaryCheckHome!$C$16="MA",D14,0)</f>
        <v>39</v>
      </c>
      <c r="O12">
        <f>IF(SalaryCheckHome!$C$16="EDSpec",E14,0)</f>
        <v>0</v>
      </c>
      <c r="P12">
        <f>IF(SalaryCheckHome!$C$16="Doc",F14,0)</f>
        <v>0</v>
      </c>
      <c r="Q12" s="10">
        <f>MAX(M12:P12)</f>
        <v>39</v>
      </c>
      <c r="R12" s="49">
        <f>SalaryCheckHome!G16</f>
        <v>0</v>
      </c>
      <c r="S12" s="10"/>
      <c r="T12" s="10"/>
      <c r="U12" s="10"/>
    </row>
    <row r="13" spans="2:21" x14ac:dyDescent="0.25">
      <c r="B13" t="s">
        <v>33</v>
      </c>
      <c r="C13" s="43">
        <f>FORMULA!L3</f>
        <v>195</v>
      </c>
      <c r="D13" s="43">
        <f>FORMULA!L4</f>
        <v>290</v>
      </c>
      <c r="E13" s="43">
        <f>FORMULA!L5</f>
        <v>290</v>
      </c>
      <c r="F13" s="43">
        <f>FORMULA!L6</f>
        <v>290</v>
      </c>
      <c r="K13" t="s">
        <v>15</v>
      </c>
      <c r="L13" s="13">
        <f>MAX(M13:P14)</f>
        <v>290</v>
      </c>
      <c r="M13" s="12">
        <f>IF(SalaryCheckHome!$C$16="BA",C13,0)</f>
        <v>0</v>
      </c>
      <c r="N13" s="12">
        <f>IF(SalaryCheckHome!$C$16="MA",D13,0)</f>
        <v>290</v>
      </c>
      <c r="O13" s="12">
        <f>IF(SalaryCheckHome!$C$16="EDSpec",E13,0)</f>
        <v>0</v>
      </c>
      <c r="P13" s="12">
        <f>IF(SalaryCheckHome!$C$16="Doc",F13,0)</f>
        <v>0</v>
      </c>
    </row>
    <row r="14" spans="2:21" x14ac:dyDescent="0.25">
      <c r="B14" t="s">
        <v>34</v>
      </c>
      <c r="C14" s="10">
        <v>39</v>
      </c>
      <c r="D14" s="10">
        <v>39</v>
      </c>
      <c r="E14" s="10">
        <v>3</v>
      </c>
      <c r="F14" s="10">
        <v>3</v>
      </c>
      <c r="K14" t="s">
        <v>16</v>
      </c>
      <c r="L14" s="14">
        <f>L13*L12</f>
        <v>0</v>
      </c>
    </row>
    <row r="15" spans="2:21" x14ac:dyDescent="0.25">
      <c r="K15" t="s">
        <v>17</v>
      </c>
      <c r="L15" s="14">
        <f>L14+L11+L7</f>
        <v>54392</v>
      </c>
    </row>
    <row r="16" spans="2:21" x14ac:dyDescent="0.25">
      <c r="B16" t="s">
        <v>35</v>
      </c>
      <c r="C16" s="44">
        <v>0</v>
      </c>
      <c r="K16" t="s">
        <v>18</v>
      </c>
      <c r="L16" s="17">
        <f>SalaryCheckHome!C19</f>
        <v>1</v>
      </c>
      <c r="M16" t="s">
        <v>56</v>
      </c>
    </row>
    <row r="17" spans="2:22" x14ac:dyDescent="0.25">
      <c r="B17" t="s">
        <v>58</v>
      </c>
      <c r="C17" s="10">
        <v>192</v>
      </c>
      <c r="K17" t="s">
        <v>19</v>
      </c>
      <c r="L17" s="1">
        <f>SalaryCheckHome!G19</f>
        <v>0</v>
      </c>
      <c r="M17" s="10">
        <f>C17+L17</f>
        <v>192</v>
      </c>
    </row>
    <row r="18" spans="2:22" x14ac:dyDescent="0.25">
      <c r="K18" t="s">
        <v>20</v>
      </c>
      <c r="L18" s="14">
        <f>L15*L16*(M17/C17)</f>
        <v>54392</v>
      </c>
      <c r="M18" s="12">
        <f>L15*L16*(M17/C17)</f>
        <v>54392</v>
      </c>
    </row>
    <row r="19" spans="2:22" x14ac:dyDescent="0.25">
      <c r="L19" s="12"/>
    </row>
    <row r="20" spans="2:22" x14ac:dyDescent="0.25">
      <c r="K20" t="s">
        <v>87</v>
      </c>
      <c r="L20" s="13">
        <f>SalaryCheckHome!C7</f>
        <v>52510</v>
      </c>
    </row>
    <row r="21" spans="2:22" x14ac:dyDescent="0.25">
      <c r="K21" t="s">
        <v>88</v>
      </c>
      <c r="L21" s="13">
        <f>L18</f>
        <v>54392</v>
      </c>
    </row>
    <row r="22" spans="2:22" x14ac:dyDescent="0.25">
      <c r="K22" t="s">
        <v>89</v>
      </c>
      <c r="L22" s="13">
        <f>L20+C16</f>
        <v>52510</v>
      </c>
    </row>
    <row r="23" spans="2:22" x14ac:dyDescent="0.25">
      <c r="K23" t="str">
        <f>L6</f>
        <v>2026-27 Salary</v>
      </c>
      <c r="L23" s="14">
        <f>MAX(L21:L22)</f>
        <v>54392</v>
      </c>
      <c r="M23" s="21">
        <f>(L23/L20)-1</f>
        <v>3.5840792230051433E-2</v>
      </c>
    </row>
    <row r="24" spans="2:22" x14ac:dyDescent="0.25">
      <c r="M24" s="21"/>
    </row>
    <row r="26" spans="2:22" x14ac:dyDescent="0.25">
      <c r="R26" s="10"/>
      <c r="S26" s="46"/>
    </row>
    <row r="27" spans="2:22" ht="60" x14ac:dyDescent="0.25">
      <c r="C27" s="10" t="s">
        <v>4</v>
      </c>
      <c r="D27" s="10" t="s">
        <v>5</v>
      </c>
      <c r="E27" s="10" t="s">
        <v>6</v>
      </c>
      <c r="F27" s="10" t="s">
        <v>7</v>
      </c>
      <c r="L27" s="15" t="str">
        <f>L6</f>
        <v>2026-27 Salary</v>
      </c>
      <c r="M27" s="15" t="s">
        <v>4</v>
      </c>
      <c r="N27" s="15" t="s">
        <v>5</v>
      </c>
      <c r="O27" s="15" t="s">
        <v>6</v>
      </c>
      <c r="P27" s="15" t="s">
        <v>7</v>
      </c>
      <c r="Q27" s="10" t="s">
        <v>9</v>
      </c>
      <c r="R27" s="49" t="s">
        <v>45</v>
      </c>
      <c r="S27" s="50" t="s">
        <v>46</v>
      </c>
      <c r="T27" s="51" t="s">
        <v>47</v>
      </c>
      <c r="U27" s="51" t="s">
        <v>44</v>
      </c>
      <c r="V27" s="51" t="s">
        <v>38</v>
      </c>
    </row>
    <row r="28" spans="2:22" x14ac:dyDescent="0.25">
      <c r="B28" t="s">
        <v>29</v>
      </c>
      <c r="C28" s="43">
        <f>C7</f>
        <v>44550</v>
      </c>
      <c r="D28" s="43">
        <f>D7</f>
        <v>52310</v>
      </c>
      <c r="E28" s="43">
        <f>E7</f>
        <v>63115</v>
      </c>
      <c r="F28" s="43">
        <f>F7</f>
        <v>63115</v>
      </c>
      <c r="K28" t="s">
        <v>13</v>
      </c>
      <c r="L28" s="14">
        <f>MAX(M28:P29)</f>
        <v>52310</v>
      </c>
      <c r="M28" s="12">
        <f>IF(SalaryCheckHome!$C$40="BA",C28,0)</f>
        <v>0</v>
      </c>
      <c r="N28" s="12">
        <f>IF(SalaryCheckHome!$C$40="MA",D28,0)</f>
        <v>52310</v>
      </c>
      <c r="O28" s="12">
        <f>IF(SalaryCheckHome!$C$40="EDSpec",E28,0)</f>
        <v>0</v>
      </c>
      <c r="P28" s="12">
        <f>IF(SalaryCheckHome!$C$40="Doc",F28,0)</f>
        <v>0</v>
      </c>
      <c r="R28"/>
      <c r="S28" s="46"/>
    </row>
    <row r="29" spans="2:22" x14ac:dyDescent="0.25">
      <c r="C29" s="43"/>
      <c r="D29" s="43"/>
      <c r="E29" s="43"/>
      <c r="F29" s="43"/>
      <c r="K29" t="s">
        <v>8</v>
      </c>
      <c r="L29" s="13">
        <f>MAX(M29:P30)</f>
        <v>1041</v>
      </c>
      <c r="M29" s="12">
        <f>IF(SalaryCheckHome!$C$40="BA",C30,0)</f>
        <v>0</v>
      </c>
      <c r="N29" s="12">
        <f>IF(SalaryCheckHome!$C$40="MA",D30,0)</f>
        <v>1041</v>
      </c>
      <c r="O29" s="12">
        <f>IF(SalaryCheckHome!$C$40="EDSpec",E30,0)</f>
        <v>0</v>
      </c>
      <c r="P29" s="12">
        <f>IF(SalaryCheckHome!$C$40="Doc",F30,0)</f>
        <v>0</v>
      </c>
      <c r="R29"/>
      <c r="S29" s="46"/>
    </row>
    <row r="30" spans="2:22" x14ac:dyDescent="0.25">
      <c r="B30" t="s">
        <v>30</v>
      </c>
      <c r="C30" s="43">
        <f t="shared" ref="C30:F32" si="1">C9</f>
        <v>465</v>
      </c>
      <c r="D30" s="43">
        <f t="shared" si="1"/>
        <v>1041</v>
      </c>
      <c r="E30" s="43">
        <f t="shared" si="1"/>
        <v>1061</v>
      </c>
      <c r="F30" s="43">
        <f t="shared" si="1"/>
        <v>1081</v>
      </c>
      <c r="K30" t="s">
        <v>10</v>
      </c>
      <c r="L30" s="1">
        <f>L9</f>
        <v>0</v>
      </c>
      <c r="R30"/>
      <c r="S30" s="46"/>
    </row>
    <row r="31" spans="2:22" x14ac:dyDescent="0.25">
      <c r="B31" t="s">
        <v>31</v>
      </c>
      <c r="C31" s="10">
        <f t="shared" si="1"/>
        <v>8</v>
      </c>
      <c r="D31" s="10">
        <f t="shared" si="1"/>
        <v>15</v>
      </c>
      <c r="E31" s="10">
        <f t="shared" si="1"/>
        <v>15</v>
      </c>
      <c r="F31" s="10">
        <f t="shared" si="1"/>
        <v>15</v>
      </c>
      <c r="K31" t="s">
        <v>11</v>
      </c>
      <c r="L31" s="1">
        <f>L10</f>
        <v>2</v>
      </c>
      <c r="R31"/>
      <c r="S31" s="46"/>
    </row>
    <row r="32" spans="2:22" x14ac:dyDescent="0.25">
      <c r="B32" t="s">
        <v>32</v>
      </c>
      <c r="C32" s="10">
        <f t="shared" si="1"/>
        <v>8</v>
      </c>
      <c r="D32" s="10">
        <f t="shared" si="1"/>
        <v>25</v>
      </c>
      <c r="E32" s="10">
        <f t="shared" si="1"/>
        <v>25</v>
      </c>
      <c r="F32" s="10">
        <f t="shared" si="1"/>
        <v>25</v>
      </c>
      <c r="K32" t="s">
        <v>12</v>
      </c>
      <c r="L32" s="14">
        <f>L29*L31</f>
        <v>2082</v>
      </c>
      <c r="R32"/>
      <c r="S32" s="46"/>
    </row>
    <row r="33" spans="2:22" x14ac:dyDescent="0.25">
      <c r="C33" s="43"/>
      <c r="D33" s="43"/>
      <c r="E33" s="43"/>
      <c r="F33" s="43"/>
      <c r="K33" t="s">
        <v>14</v>
      </c>
      <c r="L33" s="1">
        <f>MIN(Q33:R33)</f>
        <v>0</v>
      </c>
      <c r="M33">
        <f>IF(SalaryCheckHome!$C$40="BA",C35,0)</f>
        <v>0</v>
      </c>
      <c r="N33">
        <f>IF(SalaryCheckHome!$C$40="MA",D35,0)</f>
        <v>39</v>
      </c>
      <c r="O33">
        <f>IF(SalaryCheckHome!$C$40="EDSpec",E35,0)</f>
        <v>0</v>
      </c>
      <c r="P33">
        <f>IF(SalaryCheckHome!$C$40="Doc",F35,0)</f>
        <v>0</v>
      </c>
      <c r="Q33" s="10">
        <f>MAX(M33:P33)</f>
        <v>39</v>
      </c>
      <c r="R33" s="10">
        <f>MAX(Q312,V33)</f>
        <v>0</v>
      </c>
      <c r="S33" s="50">
        <f>SalaryCheckHome!G40</f>
        <v>0</v>
      </c>
      <c r="T33" s="48">
        <f>(S33-R12)</f>
        <v>0</v>
      </c>
      <c r="U33" s="48">
        <f>MIN((T33+R12),(R12+18))</f>
        <v>0</v>
      </c>
      <c r="V33" s="48">
        <f xml:space="preserve"> IF(U33=0,0,IF(U33&gt;=39,39,IF(U33&gt;=36,36,IF(U33=36,36,(IF(U33&gt;=27,27,(IF(U33&gt;=18,18,(IF(U33&gt;=9,9,0))))))))))</f>
        <v>0</v>
      </c>
    </row>
    <row r="34" spans="2:22" x14ac:dyDescent="0.25">
      <c r="B34" t="s">
        <v>33</v>
      </c>
      <c r="C34" s="43">
        <f t="shared" ref="C34:F35" si="2">C13</f>
        <v>195</v>
      </c>
      <c r="D34" s="43">
        <f t="shared" si="2"/>
        <v>290</v>
      </c>
      <c r="E34" s="43">
        <f t="shared" si="2"/>
        <v>290</v>
      </c>
      <c r="F34" s="43">
        <f t="shared" si="2"/>
        <v>290</v>
      </c>
      <c r="K34" t="s">
        <v>15</v>
      </c>
      <c r="L34" s="13">
        <f>MAX(M34:P35)</f>
        <v>290</v>
      </c>
      <c r="M34" s="12">
        <f>IF(SalaryCheckHome!$C$40="BA",C34,0)</f>
        <v>0</v>
      </c>
      <c r="N34" s="12">
        <f>IF(SalaryCheckHome!$C$40="MA",D34,0)</f>
        <v>290</v>
      </c>
      <c r="O34" s="12">
        <f>IF(SalaryCheckHome!$C$40="EDSpec",E34,0)</f>
        <v>0</v>
      </c>
      <c r="P34" s="12">
        <f>IF(SalaryCheckHome!$C$40="Doc",F34,0)</f>
        <v>0</v>
      </c>
      <c r="R34" s="10"/>
      <c r="S34" s="46"/>
    </row>
    <row r="35" spans="2:22" x14ac:dyDescent="0.25">
      <c r="B35" t="s">
        <v>34</v>
      </c>
      <c r="C35" s="10">
        <f t="shared" si="2"/>
        <v>39</v>
      </c>
      <c r="D35" s="10">
        <f t="shared" si="2"/>
        <v>39</v>
      </c>
      <c r="E35" s="10">
        <f t="shared" si="2"/>
        <v>3</v>
      </c>
      <c r="F35" s="10">
        <f t="shared" si="2"/>
        <v>3</v>
      </c>
      <c r="K35" t="s">
        <v>16</v>
      </c>
      <c r="L35" s="14">
        <f>L34*L33</f>
        <v>0</v>
      </c>
      <c r="R35" s="10"/>
      <c r="S35" s="46"/>
    </row>
    <row r="36" spans="2:22" x14ac:dyDescent="0.25">
      <c r="C36" s="43"/>
      <c r="D36" s="43"/>
      <c r="E36" s="43"/>
      <c r="F36" s="43"/>
      <c r="K36" t="s">
        <v>17</v>
      </c>
      <c r="L36" s="14">
        <f>L35+L32+L28</f>
        <v>54392</v>
      </c>
      <c r="R36" s="10"/>
      <c r="S36" s="46"/>
    </row>
    <row r="37" spans="2:22" x14ac:dyDescent="0.25">
      <c r="B37" t="s">
        <v>35</v>
      </c>
      <c r="C37" s="43">
        <f>C16</f>
        <v>0</v>
      </c>
      <c r="D37" s="43">
        <f>D16</f>
        <v>0</v>
      </c>
      <c r="E37" s="43">
        <f>E16</f>
        <v>0</v>
      </c>
      <c r="F37" s="43">
        <f>F16</f>
        <v>0</v>
      </c>
      <c r="K37" t="s">
        <v>18</v>
      </c>
      <c r="L37" s="17">
        <f>L16</f>
        <v>1</v>
      </c>
      <c r="R37" s="10"/>
      <c r="S37" s="46"/>
    </row>
    <row r="38" spans="2:22" x14ac:dyDescent="0.25">
      <c r="K38" t="s">
        <v>19</v>
      </c>
      <c r="L38" s="1">
        <f>L17</f>
        <v>0</v>
      </c>
      <c r="R38" s="10"/>
      <c r="S38" s="46"/>
    </row>
    <row r="39" spans="2:22" x14ac:dyDescent="0.25">
      <c r="K39" t="s">
        <v>20</v>
      </c>
      <c r="L39" s="14">
        <f>(L36*L37)+((L36/194)*L38)</f>
        <v>54392</v>
      </c>
      <c r="R39" s="10"/>
      <c r="S39" s="46"/>
    </row>
    <row r="40" spans="2:22" x14ac:dyDescent="0.25">
      <c r="L40" s="12"/>
      <c r="R40" s="10"/>
      <c r="S40" s="46"/>
    </row>
    <row r="41" spans="2:22" x14ac:dyDescent="0.25">
      <c r="L41" s="13"/>
      <c r="R41" s="10"/>
      <c r="S41" s="46"/>
    </row>
    <row r="42" spans="2:22" x14ac:dyDescent="0.25">
      <c r="L42" s="13"/>
      <c r="R42" s="10"/>
      <c r="S42" s="46"/>
    </row>
    <row r="43" spans="2:22" x14ac:dyDescent="0.25">
      <c r="L43" s="13"/>
      <c r="R43" s="10"/>
      <c r="S43" s="46"/>
    </row>
    <row r="44" spans="2:22" x14ac:dyDescent="0.25">
      <c r="K44" t="str">
        <f>K23</f>
        <v>2026-27 Salary</v>
      </c>
      <c r="L44" s="14">
        <f>MAX(L39,L23)</f>
        <v>54392</v>
      </c>
      <c r="M44" s="21">
        <f>(L44/L23)-1</f>
        <v>0</v>
      </c>
      <c r="R44" s="10"/>
      <c r="S44" s="46"/>
    </row>
    <row r="45" spans="2:22" x14ac:dyDescent="0.25">
      <c r="R45" s="10"/>
      <c r="S45" s="46"/>
    </row>
    <row r="46" spans="2:22" x14ac:dyDescent="0.25">
      <c r="R46" s="10"/>
      <c r="S46" s="46"/>
    </row>
    <row r="47" spans="2:22" x14ac:dyDescent="0.25">
      <c r="R47" s="10"/>
      <c r="S47" s="46"/>
    </row>
    <row r="48" spans="2:22" x14ac:dyDescent="0.25">
      <c r="R48" s="10"/>
      <c r="S48" s="46"/>
    </row>
    <row r="49" spans="18:19" x14ac:dyDescent="0.25">
      <c r="R49" s="10"/>
      <c r="S49" s="46"/>
    </row>
    <row r="50" spans="18:19" x14ac:dyDescent="0.25">
      <c r="R50" s="10"/>
      <c r="S50" s="46"/>
    </row>
    <row r="51" spans="18:19" x14ac:dyDescent="0.25">
      <c r="R51" s="10"/>
      <c r="S51" s="46"/>
    </row>
    <row r="52" spans="18:19" x14ac:dyDescent="0.25">
      <c r="R52" s="10"/>
      <c r="S52" s="46"/>
    </row>
    <row r="53" spans="18:19" x14ac:dyDescent="0.25">
      <c r="R53" s="10"/>
      <c r="S53" s="46"/>
    </row>
  </sheetData>
  <sheetProtection algorithmName="SHA-512" hashValue="LZ2Knn8yfZ2XPtozJWY0hg7NUxfv8fwD6Gsn3dXC9LoQeWhF19wTw/2diZfg7J1PWneF2T5m2ZY8i97bayldXg==" saltValue="gJBcX5K6OsytGI+ujDIOTg==" spinCount="100000" sheet="1" selectLockedCells="1" selectUnlockedCells="1"/>
  <mergeCells count="1">
    <mergeCell ref="B4:F4"/>
  </mergeCells>
  <pageMargins left="0.7" right="0.7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DAD5-CD2A-4D42-81B3-646B80589D7E}">
  <dimension ref="B1:V53"/>
  <sheetViews>
    <sheetView workbookViewId="0">
      <selection activeCell="L3" sqref="L3"/>
    </sheetView>
  </sheetViews>
  <sheetFormatPr defaultRowHeight="15" x14ac:dyDescent="0.25"/>
  <cols>
    <col min="2" max="2" width="20.7109375" customWidth="1"/>
    <col min="3" max="6" width="12.85546875" style="10" customWidth="1"/>
    <col min="7" max="10" width="2" customWidth="1"/>
    <col min="11" max="11" width="30.42578125" customWidth="1"/>
    <col min="12" max="12" width="15.140625" customWidth="1"/>
    <col min="13" max="13" width="12" customWidth="1"/>
    <col min="14" max="16" width="13" customWidth="1"/>
    <col min="17" max="17" width="13" style="10" customWidth="1"/>
    <col min="18" max="18" width="12" style="46" customWidth="1"/>
    <col min="19" max="19" width="13.7109375" customWidth="1"/>
    <col min="20" max="20" width="17.7109375" customWidth="1"/>
    <col min="21" max="21" width="12.5703125" customWidth="1"/>
    <col min="22" max="22" width="9.5703125" customWidth="1"/>
    <col min="23" max="26" width="9.140625" customWidth="1"/>
  </cols>
  <sheetData>
    <row r="1" spans="2:21" x14ac:dyDescent="0.25">
      <c r="K1" s="3" t="s">
        <v>50</v>
      </c>
      <c r="L1" s="72" t="s">
        <v>57</v>
      </c>
    </row>
    <row r="2" spans="2:21" x14ac:dyDescent="0.25">
      <c r="K2" s="4"/>
      <c r="L2" s="74" t="s">
        <v>91</v>
      </c>
    </row>
    <row r="3" spans="2:21" x14ac:dyDescent="0.25">
      <c r="K3" s="4"/>
      <c r="L3" s="68" t="s">
        <v>52</v>
      </c>
    </row>
    <row r="4" spans="2:21" x14ac:dyDescent="0.25">
      <c r="B4" s="100" t="s">
        <v>83</v>
      </c>
      <c r="C4" s="100"/>
      <c r="D4" s="100"/>
      <c r="E4" s="100"/>
      <c r="F4" s="100"/>
      <c r="K4" s="4"/>
      <c r="L4" s="68" t="s">
        <v>49</v>
      </c>
    </row>
    <row r="5" spans="2:21" x14ac:dyDescent="0.25">
      <c r="C5" s="43">
        <f>C8</f>
        <v>45015</v>
      </c>
      <c r="D5" s="43">
        <v>47280</v>
      </c>
      <c r="E5" s="43">
        <v>57200</v>
      </c>
      <c r="F5" s="43">
        <v>57220</v>
      </c>
      <c r="K5" s="18"/>
      <c r="L5" s="59" t="s">
        <v>51</v>
      </c>
    </row>
    <row r="6" spans="2:21" ht="45" x14ac:dyDescent="0.25">
      <c r="C6" s="10" t="s">
        <v>4</v>
      </c>
      <c r="D6" s="10" t="s">
        <v>5</v>
      </c>
      <c r="E6" s="10" t="s">
        <v>6</v>
      </c>
      <c r="F6" s="10" t="s">
        <v>7</v>
      </c>
      <c r="L6" s="15" t="s">
        <v>90</v>
      </c>
      <c r="M6" s="15" t="s">
        <v>4</v>
      </c>
      <c r="N6" s="15" t="s">
        <v>5</v>
      </c>
      <c r="O6" s="15" t="s">
        <v>6</v>
      </c>
      <c r="P6" s="15" t="s">
        <v>7</v>
      </c>
      <c r="Q6" s="10" t="s">
        <v>9</v>
      </c>
      <c r="R6" s="49" t="s">
        <v>39</v>
      </c>
      <c r="S6" s="50" t="s">
        <v>48</v>
      </c>
      <c r="T6" s="52">
        <v>18</v>
      </c>
    </row>
    <row r="7" spans="2:21" x14ac:dyDescent="0.25">
      <c r="B7" t="s">
        <v>29</v>
      </c>
      <c r="C7" s="43">
        <f>FORMULA!B3</f>
        <v>44550</v>
      </c>
      <c r="D7" s="43">
        <f>FORMULA!B4</f>
        <v>52310</v>
      </c>
      <c r="E7" s="43">
        <f>FORMULA!B5</f>
        <v>63115</v>
      </c>
      <c r="F7" s="43">
        <f>FORMULA!B6</f>
        <v>63115</v>
      </c>
      <c r="K7" t="s">
        <v>13</v>
      </c>
      <c r="L7" s="14">
        <f>MAX(M7:P8)</f>
        <v>52310</v>
      </c>
      <c r="M7" s="12">
        <f>IF(SalaryCheckHome!$C$16="BA",C7,0)</f>
        <v>0</v>
      </c>
      <c r="N7" s="12">
        <f>IF(SalaryCheckHome!$C$16="MA",D7,0)</f>
        <v>52310</v>
      </c>
      <c r="O7" s="12">
        <f>IF(SalaryCheckHome!$C$16="EDSpec",E7,0)</f>
        <v>0</v>
      </c>
      <c r="P7" s="12">
        <f>IF(SalaryCheckHome!$C$16="Doc",F7,0)</f>
        <v>0</v>
      </c>
    </row>
    <row r="8" spans="2:21" x14ac:dyDescent="0.25">
      <c r="B8" t="s">
        <v>36</v>
      </c>
      <c r="C8" s="45">
        <f>C7+C9</f>
        <v>45015</v>
      </c>
      <c r="D8" s="45">
        <f t="shared" ref="D8:F8" si="0">D7+D9</f>
        <v>53351</v>
      </c>
      <c r="E8" s="45">
        <f t="shared" si="0"/>
        <v>64176</v>
      </c>
      <c r="F8" s="45">
        <f t="shared" si="0"/>
        <v>64196</v>
      </c>
      <c r="K8" t="s">
        <v>8</v>
      </c>
      <c r="L8" s="13">
        <f>MAX(M8:P9)</f>
        <v>1041</v>
      </c>
      <c r="M8" s="12">
        <f>IF(SalaryCheckHome!$C$16="BA",C9,0)</f>
        <v>0</v>
      </c>
      <c r="N8" s="12">
        <f>IF(SalaryCheckHome!$C$16="MA",D9,0)</f>
        <v>1041</v>
      </c>
      <c r="O8" s="12">
        <f>IF(SalaryCheckHome!$C$16="EDSpec",E9,0)</f>
        <v>0</v>
      </c>
      <c r="P8" s="12">
        <f>IF(SalaryCheckHome!$C$16="Doc",F9,0)</f>
        <v>0</v>
      </c>
    </row>
    <row r="9" spans="2:21" x14ac:dyDescent="0.25">
      <c r="B9" t="s">
        <v>30</v>
      </c>
      <c r="C9" s="43">
        <f>FORMULA!C3</f>
        <v>465</v>
      </c>
      <c r="D9" s="43">
        <f>FORMULA!C4</f>
        <v>1041</v>
      </c>
      <c r="E9" s="43">
        <f>FORMULA!C5</f>
        <v>1061</v>
      </c>
      <c r="F9" s="43">
        <f>FORMULA!C6</f>
        <v>1081</v>
      </c>
      <c r="K9" t="s">
        <v>10</v>
      </c>
      <c r="L9" s="1">
        <f>MIN(Q9:R9)</f>
        <v>0</v>
      </c>
      <c r="M9">
        <f>IF(SalaryCheckHome!$C$16="BA",C10,0)</f>
        <v>0</v>
      </c>
      <c r="N9">
        <f>IF(SalaryCheckHome!$C$16="MA",D10,0)</f>
        <v>16</v>
      </c>
      <c r="O9">
        <f>IF(SalaryCheckHome!$C$16="EDSpec",E10,0)</f>
        <v>0</v>
      </c>
      <c r="P9">
        <f>IF(SalaryCheckHome!$C$16="Doc",F10,0)</f>
        <v>0</v>
      </c>
      <c r="Q9" s="10">
        <f>MAX(M9:P9)</f>
        <v>16</v>
      </c>
      <c r="R9" s="46">
        <f>SalaryCheckHome!G11</f>
        <v>0</v>
      </c>
    </row>
    <row r="10" spans="2:21" x14ac:dyDescent="0.25">
      <c r="B10" t="s">
        <v>31</v>
      </c>
      <c r="C10" s="10">
        <v>8</v>
      </c>
      <c r="D10" s="73">
        <v>16</v>
      </c>
      <c r="E10" s="73">
        <v>16</v>
      </c>
      <c r="F10" s="73">
        <v>16</v>
      </c>
      <c r="K10" t="s">
        <v>11</v>
      </c>
      <c r="L10" s="1">
        <f>MIN(Q10:R10)</f>
        <v>2</v>
      </c>
      <c r="M10">
        <f>IF(SalaryCheckHome!$C$16="BA",C11,0)</f>
        <v>0</v>
      </c>
      <c r="N10">
        <f>IF(SalaryCheckHome!$C$16="MA",D11,0)</f>
        <v>25</v>
      </c>
      <c r="O10">
        <f>IF(SalaryCheckHome!$C$16="EDSpec",E11,0)</f>
        <v>0</v>
      </c>
      <c r="P10">
        <f>IF(SalaryCheckHome!$C$16="Doc",F11,0)</f>
        <v>0</v>
      </c>
      <c r="Q10" s="10">
        <f>MAX(M10:P10)</f>
        <v>25</v>
      </c>
      <c r="R10" s="46">
        <f>L9+SalaryCheckHome!C11</f>
        <v>2</v>
      </c>
    </row>
    <row r="11" spans="2:21" x14ac:dyDescent="0.25">
      <c r="B11" t="s">
        <v>32</v>
      </c>
      <c r="C11" s="10">
        <v>8</v>
      </c>
      <c r="D11" s="10">
        <v>25</v>
      </c>
      <c r="E11" s="10">
        <v>25</v>
      </c>
      <c r="F11" s="10">
        <v>25</v>
      </c>
      <c r="K11" t="s">
        <v>12</v>
      </c>
      <c r="L11" s="14">
        <f>L8*L10</f>
        <v>2082</v>
      </c>
    </row>
    <row r="12" spans="2:21" x14ac:dyDescent="0.25">
      <c r="K12" t="s">
        <v>14</v>
      </c>
      <c r="L12" s="1">
        <f>MIN(Q12:U12)</f>
        <v>0</v>
      </c>
      <c r="M12">
        <f>IF(SalaryCheckHome!$C$16="BA",C14,0)</f>
        <v>0</v>
      </c>
      <c r="N12">
        <f>IF(SalaryCheckHome!$C$16="MA",D14,0)</f>
        <v>39</v>
      </c>
      <c r="O12">
        <f>IF(SalaryCheckHome!$C$16="EDSpec",E14,0)</f>
        <v>0</v>
      </c>
      <c r="P12">
        <f>IF(SalaryCheckHome!$C$16="Doc",F14,0)</f>
        <v>0</v>
      </c>
      <c r="Q12" s="10">
        <f>MAX(M12:P12)</f>
        <v>39</v>
      </c>
      <c r="R12" s="49">
        <f>SalaryCheckHome!G16</f>
        <v>0</v>
      </c>
      <c r="S12" s="10"/>
      <c r="T12" s="10"/>
      <c r="U12" s="10"/>
    </row>
    <row r="13" spans="2:21" x14ac:dyDescent="0.25">
      <c r="B13" t="s">
        <v>33</v>
      </c>
      <c r="C13" s="43">
        <f>FORMULA!L3</f>
        <v>195</v>
      </c>
      <c r="D13" s="43">
        <f>FORMULA!L4</f>
        <v>290</v>
      </c>
      <c r="E13" s="43">
        <f>FORMULA!L5</f>
        <v>290</v>
      </c>
      <c r="F13" s="43">
        <f>FORMULA!L6</f>
        <v>290</v>
      </c>
      <c r="K13" t="s">
        <v>15</v>
      </c>
      <c r="L13" s="13">
        <f>MAX(M13:P14)</f>
        <v>290</v>
      </c>
      <c r="M13" s="12">
        <f>IF(SalaryCheckHome!$C$16="BA",C13,0)</f>
        <v>0</v>
      </c>
      <c r="N13" s="12">
        <f>IF(SalaryCheckHome!$C$16="MA",D13,0)</f>
        <v>290</v>
      </c>
      <c r="O13" s="12">
        <f>IF(SalaryCheckHome!$C$16="EDSpec",E13,0)</f>
        <v>0</v>
      </c>
      <c r="P13" s="12">
        <f>IF(SalaryCheckHome!$C$16="Doc",F13,0)</f>
        <v>0</v>
      </c>
    </row>
    <row r="14" spans="2:21" x14ac:dyDescent="0.25">
      <c r="B14" t="s">
        <v>34</v>
      </c>
      <c r="C14" s="10">
        <v>39</v>
      </c>
      <c r="D14" s="10">
        <v>39</v>
      </c>
      <c r="E14" s="10">
        <v>3</v>
      </c>
      <c r="F14" s="10">
        <v>3</v>
      </c>
      <c r="K14" t="s">
        <v>16</v>
      </c>
      <c r="L14" s="14">
        <f>L13*L12</f>
        <v>0</v>
      </c>
    </row>
    <row r="15" spans="2:21" x14ac:dyDescent="0.25">
      <c r="K15" t="s">
        <v>17</v>
      </c>
      <c r="L15" s="14">
        <f>L14+L11+L7</f>
        <v>54392</v>
      </c>
    </row>
    <row r="16" spans="2:21" x14ac:dyDescent="0.25">
      <c r="B16" t="s">
        <v>35</v>
      </c>
      <c r="C16" s="44">
        <v>0</v>
      </c>
      <c r="K16" t="s">
        <v>18</v>
      </c>
      <c r="L16" s="17">
        <f>SalaryCheckHome!C19</f>
        <v>1</v>
      </c>
      <c r="M16" t="s">
        <v>56</v>
      </c>
    </row>
    <row r="17" spans="2:22" x14ac:dyDescent="0.25">
      <c r="B17" t="s">
        <v>58</v>
      </c>
      <c r="C17" s="10">
        <v>192</v>
      </c>
      <c r="K17" t="s">
        <v>19</v>
      </c>
      <c r="L17" s="1">
        <f>SalaryCheckHome!G19</f>
        <v>0</v>
      </c>
      <c r="M17" s="10">
        <f>C17+L17</f>
        <v>192</v>
      </c>
    </row>
    <row r="18" spans="2:22" x14ac:dyDescent="0.25">
      <c r="K18" t="s">
        <v>20</v>
      </c>
      <c r="L18" s="14">
        <f>L15*L16*(M17/C17)</f>
        <v>54392</v>
      </c>
      <c r="M18" s="12">
        <f>L15*L16*(M17/C17)</f>
        <v>54392</v>
      </c>
    </row>
    <row r="19" spans="2:22" x14ac:dyDescent="0.25">
      <c r="L19" s="12"/>
    </row>
    <row r="20" spans="2:22" x14ac:dyDescent="0.25">
      <c r="K20" t="s">
        <v>87</v>
      </c>
      <c r="L20" s="13">
        <f>SalaryCheckHome!C7</f>
        <v>52510</v>
      </c>
    </row>
    <row r="21" spans="2:22" x14ac:dyDescent="0.25">
      <c r="K21" t="s">
        <v>88</v>
      </c>
      <c r="L21" s="13">
        <f>L18</f>
        <v>54392</v>
      </c>
    </row>
    <row r="22" spans="2:22" x14ac:dyDescent="0.25">
      <c r="K22" t="s">
        <v>89</v>
      </c>
      <c r="L22" s="13">
        <f>L20+C16</f>
        <v>52510</v>
      </c>
    </row>
    <row r="23" spans="2:22" x14ac:dyDescent="0.25">
      <c r="K23" t="str">
        <f>L6</f>
        <v>2026-27 Salary</v>
      </c>
      <c r="L23" s="14">
        <f>MAX(L21:L22)</f>
        <v>54392</v>
      </c>
      <c r="M23" s="21">
        <f>(L23/L20)-1</f>
        <v>3.5840792230051433E-2</v>
      </c>
    </row>
    <row r="24" spans="2:22" x14ac:dyDescent="0.25">
      <c r="M24" s="21"/>
    </row>
    <row r="26" spans="2:22" x14ac:dyDescent="0.25">
      <c r="R26" s="10"/>
      <c r="S26" s="46"/>
    </row>
    <row r="27" spans="2:22" ht="60" x14ac:dyDescent="0.25">
      <c r="C27" s="10" t="s">
        <v>4</v>
      </c>
      <c r="D27" s="10" t="s">
        <v>5</v>
      </c>
      <c r="E27" s="10" t="s">
        <v>6</v>
      </c>
      <c r="F27" s="10" t="s">
        <v>7</v>
      </c>
      <c r="L27" s="15" t="str">
        <f>L6</f>
        <v>2026-27 Salary</v>
      </c>
      <c r="M27" s="15" t="s">
        <v>4</v>
      </c>
      <c r="N27" s="15" t="s">
        <v>5</v>
      </c>
      <c r="O27" s="15" t="s">
        <v>6</v>
      </c>
      <c r="P27" s="15" t="s">
        <v>7</v>
      </c>
      <c r="Q27" s="10" t="s">
        <v>9</v>
      </c>
      <c r="R27" s="49" t="s">
        <v>45</v>
      </c>
      <c r="S27" s="50" t="s">
        <v>46</v>
      </c>
      <c r="T27" s="51" t="s">
        <v>47</v>
      </c>
      <c r="U27" s="51" t="s">
        <v>44</v>
      </c>
      <c r="V27" s="51" t="s">
        <v>38</v>
      </c>
    </row>
    <row r="28" spans="2:22" x14ac:dyDescent="0.25">
      <c r="B28" t="s">
        <v>29</v>
      </c>
      <c r="C28" s="43">
        <f>C7</f>
        <v>44550</v>
      </c>
      <c r="D28" s="43">
        <f>D7</f>
        <v>52310</v>
      </c>
      <c r="E28" s="43">
        <f>E7</f>
        <v>63115</v>
      </c>
      <c r="F28" s="43">
        <f>F7</f>
        <v>63115</v>
      </c>
      <c r="K28" t="s">
        <v>13</v>
      </c>
      <c r="L28" s="14">
        <f>MAX(M28:P29)</f>
        <v>52310</v>
      </c>
      <c r="M28" s="12">
        <f>IF(SalaryCheckHome!$C$40="BA",C28,0)</f>
        <v>0</v>
      </c>
      <c r="N28" s="12">
        <f>IF(SalaryCheckHome!$C$40="MA",D28,0)</f>
        <v>52310</v>
      </c>
      <c r="O28" s="12">
        <f>IF(SalaryCheckHome!$C$40="EDSpec",E28,0)</f>
        <v>0</v>
      </c>
      <c r="P28" s="12">
        <f>IF(SalaryCheckHome!$C$40="Doc",F28,0)</f>
        <v>0</v>
      </c>
      <c r="R28"/>
      <c r="S28" s="46"/>
    </row>
    <row r="29" spans="2:22" x14ac:dyDescent="0.25">
      <c r="C29" s="43"/>
      <c r="D29" s="43"/>
      <c r="E29" s="43"/>
      <c r="F29" s="43"/>
      <c r="K29" t="s">
        <v>8</v>
      </c>
      <c r="L29" s="13">
        <f>MAX(M29:P30)</f>
        <v>1041</v>
      </c>
      <c r="M29" s="12">
        <f>IF(SalaryCheckHome!$C$40="BA",C30,0)</f>
        <v>0</v>
      </c>
      <c r="N29" s="12">
        <f>IF(SalaryCheckHome!$C$40="MA",D30,0)</f>
        <v>1041</v>
      </c>
      <c r="O29" s="12">
        <f>IF(SalaryCheckHome!$C$40="EDSpec",E30,0)</f>
        <v>0</v>
      </c>
      <c r="P29" s="12">
        <f>IF(SalaryCheckHome!$C$40="Doc",F30,0)</f>
        <v>0</v>
      </c>
      <c r="R29"/>
      <c r="S29" s="46"/>
    </row>
    <row r="30" spans="2:22" x14ac:dyDescent="0.25">
      <c r="B30" t="s">
        <v>30</v>
      </c>
      <c r="C30" s="43">
        <f t="shared" ref="C30:F32" si="1">C9</f>
        <v>465</v>
      </c>
      <c r="D30" s="43">
        <f t="shared" si="1"/>
        <v>1041</v>
      </c>
      <c r="E30" s="43">
        <f t="shared" si="1"/>
        <v>1061</v>
      </c>
      <c r="F30" s="43">
        <f t="shared" si="1"/>
        <v>1081</v>
      </c>
      <c r="K30" t="s">
        <v>10</v>
      </c>
      <c r="L30" s="1">
        <f>L9</f>
        <v>0</v>
      </c>
      <c r="R30"/>
      <c r="S30" s="46"/>
    </row>
    <row r="31" spans="2:22" x14ac:dyDescent="0.25">
      <c r="B31" t="s">
        <v>31</v>
      </c>
      <c r="C31" s="10">
        <f t="shared" si="1"/>
        <v>8</v>
      </c>
      <c r="D31" s="10">
        <f t="shared" si="1"/>
        <v>16</v>
      </c>
      <c r="E31" s="10">
        <f t="shared" si="1"/>
        <v>16</v>
      </c>
      <c r="F31" s="10">
        <f t="shared" si="1"/>
        <v>16</v>
      </c>
      <c r="K31" t="s">
        <v>11</v>
      </c>
      <c r="L31" s="1">
        <f>L10</f>
        <v>2</v>
      </c>
      <c r="R31"/>
      <c r="S31" s="46"/>
    </row>
    <row r="32" spans="2:22" x14ac:dyDescent="0.25">
      <c r="B32" t="s">
        <v>32</v>
      </c>
      <c r="C32" s="10">
        <f t="shared" si="1"/>
        <v>8</v>
      </c>
      <c r="D32" s="10">
        <f t="shared" si="1"/>
        <v>25</v>
      </c>
      <c r="E32" s="10">
        <f t="shared" si="1"/>
        <v>25</v>
      </c>
      <c r="F32" s="10">
        <f t="shared" si="1"/>
        <v>25</v>
      </c>
      <c r="K32" t="s">
        <v>12</v>
      </c>
      <c r="L32" s="14">
        <f>L29*L31</f>
        <v>2082</v>
      </c>
      <c r="R32"/>
      <c r="S32" s="46"/>
    </row>
    <row r="33" spans="2:22" x14ac:dyDescent="0.25">
      <c r="C33" s="43"/>
      <c r="D33" s="43"/>
      <c r="E33" s="43"/>
      <c r="F33" s="43"/>
      <c r="K33" t="s">
        <v>14</v>
      </c>
      <c r="L33" s="1">
        <f>MIN(Q33:R33)</f>
        <v>0</v>
      </c>
      <c r="M33">
        <f>IF(SalaryCheckHome!$C$40="BA",C35,0)</f>
        <v>0</v>
      </c>
      <c r="N33">
        <f>IF(SalaryCheckHome!$C$40="MA",D35,0)</f>
        <v>39</v>
      </c>
      <c r="O33">
        <f>IF(SalaryCheckHome!$C$40="EDSpec",E35,0)</f>
        <v>0</v>
      </c>
      <c r="P33">
        <f>IF(SalaryCheckHome!$C$40="Doc",F35,0)</f>
        <v>0</v>
      </c>
      <c r="Q33" s="10">
        <f>MAX(M33:P33)</f>
        <v>39</v>
      </c>
      <c r="R33" s="10">
        <f>MAX(Q312,V33)</f>
        <v>0</v>
      </c>
      <c r="S33" s="50">
        <f>SalaryCheckHome!G40</f>
        <v>0</v>
      </c>
      <c r="T33" s="48">
        <f>(S33-R12)</f>
        <v>0</v>
      </c>
      <c r="U33" s="48">
        <f>MIN((T33+R12),(R12+18))</f>
        <v>0</v>
      </c>
      <c r="V33" s="48">
        <f xml:space="preserve"> IF(U33=0,0,IF(U33&gt;=39,39,IF(U33&gt;=36,36,IF(U33=36,36,(IF(U33&gt;=27,27,(IF(U33&gt;=18,18,(IF(U33&gt;=9,9,0))))))))))</f>
        <v>0</v>
      </c>
    </row>
    <row r="34" spans="2:22" x14ac:dyDescent="0.25">
      <c r="B34" t="s">
        <v>33</v>
      </c>
      <c r="C34" s="43">
        <f t="shared" ref="C34:F35" si="2">C13</f>
        <v>195</v>
      </c>
      <c r="D34" s="43">
        <f t="shared" si="2"/>
        <v>290</v>
      </c>
      <c r="E34" s="43">
        <f t="shared" si="2"/>
        <v>290</v>
      </c>
      <c r="F34" s="43">
        <f t="shared" si="2"/>
        <v>290</v>
      </c>
      <c r="K34" t="s">
        <v>15</v>
      </c>
      <c r="L34" s="13">
        <f>MAX(M34:P35)</f>
        <v>290</v>
      </c>
      <c r="M34" s="12">
        <f>IF(SalaryCheckHome!$C$40="BA",C34,0)</f>
        <v>0</v>
      </c>
      <c r="N34" s="12">
        <f>IF(SalaryCheckHome!$C$40="MA",D34,0)</f>
        <v>290</v>
      </c>
      <c r="O34" s="12">
        <f>IF(SalaryCheckHome!$C$40="EDSpec",E34,0)</f>
        <v>0</v>
      </c>
      <c r="P34" s="12">
        <f>IF(SalaryCheckHome!$C$40="Doc",F34,0)</f>
        <v>0</v>
      </c>
      <c r="R34" s="10"/>
      <c r="S34" s="46"/>
    </row>
    <row r="35" spans="2:22" x14ac:dyDescent="0.25">
      <c r="B35" t="s">
        <v>34</v>
      </c>
      <c r="C35" s="10">
        <f t="shared" si="2"/>
        <v>39</v>
      </c>
      <c r="D35" s="10">
        <f t="shared" si="2"/>
        <v>39</v>
      </c>
      <c r="E35" s="10">
        <f t="shared" si="2"/>
        <v>3</v>
      </c>
      <c r="F35" s="10">
        <f t="shared" si="2"/>
        <v>3</v>
      </c>
      <c r="K35" t="s">
        <v>16</v>
      </c>
      <c r="L35" s="14">
        <f>L34*L33</f>
        <v>0</v>
      </c>
      <c r="R35" s="10"/>
      <c r="S35" s="46"/>
    </row>
    <row r="36" spans="2:22" x14ac:dyDescent="0.25">
      <c r="C36" s="43"/>
      <c r="D36" s="43"/>
      <c r="E36" s="43"/>
      <c r="F36" s="43"/>
      <c r="K36" t="s">
        <v>17</v>
      </c>
      <c r="L36" s="14">
        <f>L35+L32+L28</f>
        <v>54392</v>
      </c>
      <c r="R36" s="10"/>
      <c r="S36" s="46"/>
    </row>
    <row r="37" spans="2:22" x14ac:dyDescent="0.25">
      <c r="B37" t="s">
        <v>35</v>
      </c>
      <c r="C37" s="43">
        <f>C16</f>
        <v>0</v>
      </c>
      <c r="D37" s="43">
        <f>D16</f>
        <v>0</v>
      </c>
      <c r="E37" s="43">
        <f>E16</f>
        <v>0</v>
      </c>
      <c r="F37" s="43">
        <f>F16</f>
        <v>0</v>
      </c>
      <c r="K37" t="s">
        <v>18</v>
      </c>
      <c r="L37" s="17">
        <f>L16</f>
        <v>1</v>
      </c>
      <c r="R37" s="10"/>
      <c r="S37" s="46"/>
    </row>
    <row r="38" spans="2:22" x14ac:dyDescent="0.25">
      <c r="K38" t="s">
        <v>19</v>
      </c>
      <c r="L38" s="1">
        <f>L17</f>
        <v>0</v>
      </c>
      <c r="R38" s="10"/>
      <c r="S38" s="46"/>
    </row>
    <row r="39" spans="2:22" x14ac:dyDescent="0.25">
      <c r="K39" t="s">
        <v>20</v>
      </c>
      <c r="L39" s="14">
        <f>(L36*L37)+((L36/194)*L38)</f>
        <v>54392</v>
      </c>
      <c r="R39" s="10"/>
      <c r="S39" s="46"/>
    </row>
    <row r="40" spans="2:22" x14ac:dyDescent="0.25">
      <c r="L40" s="12"/>
      <c r="R40" s="10"/>
      <c r="S40" s="46"/>
    </row>
    <row r="41" spans="2:22" x14ac:dyDescent="0.25">
      <c r="L41" s="13"/>
      <c r="R41" s="10"/>
      <c r="S41" s="46"/>
    </row>
    <row r="42" spans="2:22" x14ac:dyDescent="0.25">
      <c r="L42" s="13"/>
      <c r="R42" s="10"/>
      <c r="S42" s="46"/>
    </row>
    <row r="43" spans="2:22" x14ac:dyDescent="0.25">
      <c r="L43" s="13"/>
      <c r="R43" s="10"/>
      <c r="S43" s="46"/>
    </row>
    <row r="44" spans="2:22" x14ac:dyDescent="0.25">
      <c r="K44" t="str">
        <f>K23</f>
        <v>2026-27 Salary</v>
      </c>
      <c r="L44" s="14">
        <f>MAX(L39,L23)</f>
        <v>54392</v>
      </c>
      <c r="M44" s="21">
        <f>(L44/L23)-1</f>
        <v>0</v>
      </c>
      <c r="R44" s="10"/>
      <c r="S44" s="46"/>
    </row>
    <row r="45" spans="2:22" x14ac:dyDescent="0.25">
      <c r="R45" s="10"/>
      <c r="S45" s="46"/>
    </row>
    <row r="46" spans="2:22" x14ac:dyDescent="0.25">
      <c r="R46" s="10"/>
      <c r="S46" s="46"/>
    </row>
    <row r="47" spans="2:22" x14ac:dyDescent="0.25">
      <c r="R47" s="10"/>
      <c r="S47" s="46"/>
    </row>
    <row r="48" spans="2:22" x14ac:dyDescent="0.25">
      <c r="R48" s="10"/>
      <c r="S48" s="46"/>
    </row>
    <row r="49" spans="18:19" x14ac:dyDescent="0.25">
      <c r="R49" s="10"/>
      <c r="S49" s="46"/>
    </row>
    <row r="50" spans="18:19" x14ac:dyDescent="0.25">
      <c r="R50" s="10"/>
      <c r="S50" s="46"/>
    </row>
    <row r="51" spans="18:19" x14ac:dyDescent="0.25">
      <c r="R51" s="10"/>
      <c r="S51" s="46"/>
    </row>
    <row r="52" spans="18:19" x14ac:dyDescent="0.25">
      <c r="R52" s="10"/>
      <c r="S52" s="46"/>
    </row>
    <row r="53" spans="18:19" x14ac:dyDescent="0.25">
      <c r="R53" s="10"/>
      <c r="S53" s="46"/>
    </row>
  </sheetData>
  <sheetProtection algorithmName="SHA-512" hashValue="4DKsr5+sdg7bBoh71QRP8mzp36m68x3NVKz/WwyMSSdz89IqH3tgA19WXtch+pN0UFvkyjlxC7tK8gArsLE6jw==" saltValue="J4f9acsHyDwU36ZwooMjkQ==" spinCount="100000" sheet="1" selectLockedCells="1" selectUnlockedCells="1"/>
  <mergeCells count="1">
    <mergeCell ref="B4:F4"/>
  </mergeCells>
  <pageMargins left="0.7" right="0.7" top="0.75" bottom="0.75" header="0.3" footer="0.3"/>
  <pageSetup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F0A0-F8BC-46AF-8C14-AA2C0ABDE8D6}">
  <dimension ref="B1:V53"/>
  <sheetViews>
    <sheetView workbookViewId="0">
      <selection activeCell="L3" sqref="L3"/>
    </sheetView>
  </sheetViews>
  <sheetFormatPr defaultRowHeight="15" x14ac:dyDescent="0.25"/>
  <cols>
    <col min="2" max="2" width="20.7109375" customWidth="1"/>
    <col min="3" max="6" width="12.85546875" style="10" customWidth="1"/>
    <col min="7" max="10" width="2" customWidth="1"/>
    <col min="11" max="11" width="30.42578125" customWidth="1"/>
    <col min="12" max="12" width="15.140625" customWidth="1"/>
    <col min="13" max="13" width="12" customWidth="1"/>
    <col min="14" max="16" width="13" customWidth="1"/>
    <col min="17" max="17" width="13" style="10" customWidth="1"/>
    <col min="18" max="18" width="12" style="46" customWidth="1"/>
    <col min="19" max="19" width="13.7109375" customWidth="1"/>
    <col min="20" max="20" width="17.7109375" customWidth="1"/>
    <col min="21" max="21" width="12.5703125" customWidth="1"/>
    <col min="22" max="22" width="9.5703125" customWidth="1"/>
    <col min="23" max="26" width="9.140625" customWidth="1"/>
  </cols>
  <sheetData>
    <row r="1" spans="2:21" x14ac:dyDescent="0.25">
      <c r="K1" s="3" t="s">
        <v>50</v>
      </c>
      <c r="L1" s="67" t="s">
        <v>57</v>
      </c>
    </row>
    <row r="2" spans="2:21" x14ac:dyDescent="0.25">
      <c r="K2" s="4"/>
      <c r="L2" s="5" t="s">
        <v>91</v>
      </c>
    </row>
    <row r="3" spans="2:21" x14ac:dyDescent="0.25">
      <c r="K3" s="4"/>
      <c r="L3" s="68" t="s">
        <v>52</v>
      </c>
    </row>
    <row r="4" spans="2:21" x14ac:dyDescent="0.25">
      <c r="B4" s="100" t="s">
        <v>84</v>
      </c>
      <c r="C4" s="100"/>
      <c r="D4" s="100"/>
      <c r="E4" s="100"/>
      <c r="F4" s="100"/>
      <c r="K4" s="4"/>
      <c r="L4" s="68" t="s">
        <v>49</v>
      </c>
    </row>
    <row r="5" spans="2:21" x14ac:dyDescent="0.25">
      <c r="C5" s="43">
        <f>C8</f>
        <v>45015</v>
      </c>
      <c r="D5" s="43">
        <v>47280</v>
      </c>
      <c r="E5" s="43">
        <v>57200</v>
      </c>
      <c r="F5" s="43">
        <v>57220</v>
      </c>
      <c r="K5" s="18"/>
      <c r="L5" s="59" t="s">
        <v>51</v>
      </c>
    </row>
    <row r="6" spans="2:21" ht="45" x14ac:dyDescent="0.25">
      <c r="C6" s="10" t="s">
        <v>4</v>
      </c>
      <c r="D6" s="10" t="s">
        <v>5</v>
      </c>
      <c r="E6" s="10" t="s">
        <v>6</v>
      </c>
      <c r="F6" s="10" t="s">
        <v>7</v>
      </c>
      <c r="L6" s="15" t="s">
        <v>90</v>
      </c>
      <c r="M6" s="15" t="s">
        <v>4</v>
      </c>
      <c r="N6" s="15" t="s">
        <v>5</v>
      </c>
      <c r="O6" s="15" t="s">
        <v>6</v>
      </c>
      <c r="P6" s="15" t="s">
        <v>7</v>
      </c>
      <c r="Q6" s="10" t="s">
        <v>9</v>
      </c>
      <c r="R6" s="49" t="s">
        <v>39</v>
      </c>
      <c r="S6" s="50" t="s">
        <v>48</v>
      </c>
      <c r="T6" s="52">
        <v>18</v>
      </c>
    </row>
    <row r="7" spans="2:21" x14ac:dyDescent="0.25">
      <c r="B7" t="s">
        <v>29</v>
      </c>
      <c r="C7" s="43">
        <f>FORMULA!B3</f>
        <v>44550</v>
      </c>
      <c r="D7" s="43">
        <f>FORMULA!B4</f>
        <v>52310</v>
      </c>
      <c r="E7" s="43">
        <f>FORMULA!B5</f>
        <v>63115</v>
      </c>
      <c r="F7" s="43">
        <f>FORMULA!B6</f>
        <v>63115</v>
      </c>
      <c r="K7" t="s">
        <v>13</v>
      </c>
      <c r="L7" s="14">
        <f>MAX(M7:P8)</f>
        <v>52310</v>
      </c>
      <c r="M7" s="12">
        <f>IF(SalaryCheckHome!$C$16="BA",C7,0)</f>
        <v>0</v>
      </c>
      <c r="N7" s="12">
        <f>IF(SalaryCheckHome!$C$16="MA",D7,0)</f>
        <v>52310</v>
      </c>
      <c r="O7" s="12">
        <f>IF(SalaryCheckHome!$C$16="EDSpec",E7,0)</f>
        <v>0</v>
      </c>
      <c r="P7" s="12">
        <f>IF(SalaryCheckHome!$C$16="Doc",F7,0)</f>
        <v>0</v>
      </c>
    </row>
    <row r="8" spans="2:21" x14ac:dyDescent="0.25">
      <c r="B8" t="s">
        <v>36</v>
      </c>
      <c r="C8" s="45">
        <f>C7+C9</f>
        <v>45015</v>
      </c>
      <c r="D8" s="45">
        <f t="shared" ref="D8:F8" si="0">D7+D9</f>
        <v>53351</v>
      </c>
      <c r="E8" s="45">
        <f t="shared" si="0"/>
        <v>64176</v>
      </c>
      <c r="F8" s="45">
        <f t="shared" si="0"/>
        <v>64196</v>
      </c>
      <c r="K8" t="s">
        <v>8</v>
      </c>
      <c r="L8" s="13">
        <f>MAX(M8:P9)</f>
        <v>1041</v>
      </c>
      <c r="M8" s="12">
        <f>IF(SalaryCheckHome!$C$16="BA",C9,0)</f>
        <v>0</v>
      </c>
      <c r="N8" s="12">
        <f>IF(SalaryCheckHome!$C$16="MA",D9,0)</f>
        <v>1041</v>
      </c>
      <c r="O8" s="12">
        <f>IF(SalaryCheckHome!$C$16="EDSpec",E9,0)</f>
        <v>0</v>
      </c>
      <c r="P8" s="12">
        <f>IF(SalaryCheckHome!$C$16="Doc",F9,0)</f>
        <v>0</v>
      </c>
    </row>
    <row r="9" spans="2:21" x14ac:dyDescent="0.25">
      <c r="B9" t="s">
        <v>30</v>
      </c>
      <c r="C9" s="43">
        <f>FORMULA!C3</f>
        <v>465</v>
      </c>
      <c r="D9" s="43">
        <f>FORMULA!C4</f>
        <v>1041</v>
      </c>
      <c r="E9" s="43">
        <f>FORMULA!C5</f>
        <v>1061</v>
      </c>
      <c r="F9" s="43">
        <f>FORMULA!C6</f>
        <v>1081</v>
      </c>
      <c r="K9" t="s">
        <v>10</v>
      </c>
      <c r="L9" s="1">
        <f>MIN(Q9:R9)</f>
        <v>0</v>
      </c>
      <c r="M9">
        <f>IF(SalaryCheckHome!$C$16="BA",C10,0)</f>
        <v>0</v>
      </c>
      <c r="N9">
        <f>IF(SalaryCheckHome!$C$16="MA",D10,0)</f>
        <v>17</v>
      </c>
      <c r="O9">
        <f>IF(SalaryCheckHome!$C$16="EDSpec",E10,0)</f>
        <v>0</v>
      </c>
      <c r="P9">
        <f>IF(SalaryCheckHome!$C$16="Doc",F10,0)</f>
        <v>0</v>
      </c>
      <c r="Q9" s="10">
        <f>MAX(M9:P9)</f>
        <v>17</v>
      </c>
      <c r="R9" s="46">
        <f>SalaryCheckHome!G11</f>
        <v>0</v>
      </c>
    </row>
    <row r="10" spans="2:21" x14ac:dyDescent="0.25">
      <c r="B10" t="s">
        <v>31</v>
      </c>
      <c r="C10" s="10">
        <v>8</v>
      </c>
      <c r="D10" s="73">
        <v>17</v>
      </c>
      <c r="E10" s="73">
        <v>17</v>
      </c>
      <c r="F10" s="73">
        <v>17</v>
      </c>
      <c r="K10" t="s">
        <v>11</v>
      </c>
      <c r="L10" s="1">
        <f>MIN(Q10:R10)</f>
        <v>2</v>
      </c>
      <c r="M10">
        <f>IF(SalaryCheckHome!$C$16="BA",C11,0)</f>
        <v>0</v>
      </c>
      <c r="N10">
        <f>IF(SalaryCheckHome!$C$16="MA",D11,0)</f>
        <v>25</v>
      </c>
      <c r="O10">
        <f>IF(SalaryCheckHome!$C$16="EDSpec",E11,0)</f>
        <v>0</v>
      </c>
      <c r="P10">
        <f>IF(SalaryCheckHome!$C$16="Doc",F11,0)</f>
        <v>0</v>
      </c>
      <c r="Q10" s="10">
        <f>MAX(M10:P10)</f>
        <v>25</v>
      </c>
      <c r="R10" s="46">
        <f>L9+SalaryCheckHome!C11</f>
        <v>2</v>
      </c>
    </row>
    <row r="11" spans="2:21" x14ac:dyDescent="0.25">
      <c r="B11" t="s">
        <v>32</v>
      </c>
      <c r="C11" s="10">
        <v>8</v>
      </c>
      <c r="D11" s="10">
        <v>25</v>
      </c>
      <c r="E11" s="10">
        <v>25</v>
      </c>
      <c r="F11" s="10">
        <v>25</v>
      </c>
      <c r="K11" t="s">
        <v>12</v>
      </c>
      <c r="L11" s="14">
        <f>L8*L10</f>
        <v>2082</v>
      </c>
    </row>
    <row r="12" spans="2:21" x14ac:dyDescent="0.25">
      <c r="K12" t="s">
        <v>14</v>
      </c>
      <c r="L12" s="1">
        <f>MIN(Q12:U12)</f>
        <v>0</v>
      </c>
      <c r="M12">
        <f>IF(SalaryCheckHome!$C$16="BA",C14,0)</f>
        <v>0</v>
      </c>
      <c r="N12">
        <f>IF(SalaryCheckHome!$C$16="MA",D14,0)</f>
        <v>39</v>
      </c>
      <c r="O12">
        <f>IF(SalaryCheckHome!$C$16="EDSpec",E14,0)</f>
        <v>0</v>
      </c>
      <c r="P12">
        <f>IF(SalaryCheckHome!$C$16="Doc",F14,0)</f>
        <v>0</v>
      </c>
      <c r="Q12" s="10">
        <f>MAX(M12:P12)</f>
        <v>39</v>
      </c>
      <c r="R12" s="49">
        <f>SalaryCheckHome!G16</f>
        <v>0</v>
      </c>
      <c r="S12" s="10"/>
      <c r="T12" s="10"/>
      <c r="U12" s="10"/>
    </row>
    <row r="13" spans="2:21" x14ac:dyDescent="0.25">
      <c r="B13" t="s">
        <v>33</v>
      </c>
      <c r="C13" s="43">
        <f>FORMULA!L3</f>
        <v>195</v>
      </c>
      <c r="D13" s="43">
        <f>FORMULA!L4</f>
        <v>290</v>
      </c>
      <c r="E13" s="43">
        <f>FORMULA!L5</f>
        <v>290</v>
      </c>
      <c r="F13" s="43">
        <f>FORMULA!L6</f>
        <v>290</v>
      </c>
      <c r="K13" t="s">
        <v>15</v>
      </c>
      <c r="L13" s="13">
        <f>MAX(M13:P14)</f>
        <v>290</v>
      </c>
      <c r="M13" s="12">
        <f>IF(SalaryCheckHome!$C$16="BA",C13,0)</f>
        <v>0</v>
      </c>
      <c r="N13" s="12">
        <f>IF(SalaryCheckHome!$C$16="MA",D13,0)</f>
        <v>290</v>
      </c>
      <c r="O13" s="12">
        <f>IF(SalaryCheckHome!$C$16="EDSpec",E13,0)</f>
        <v>0</v>
      </c>
      <c r="P13" s="12">
        <f>IF(SalaryCheckHome!$C$16="Doc",F13,0)</f>
        <v>0</v>
      </c>
    </row>
    <row r="14" spans="2:21" x14ac:dyDescent="0.25">
      <c r="B14" t="s">
        <v>34</v>
      </c>
      <c r="C14" s="10">
        <v>39</v>
      </c>
      <c r="D14" s="10">
        <v>39</v>
      </c>
      <c r="E14" s="10">
        <v>3</v>
      </c>
      <c r="F14" s="10">
        <v>3</v>
      </c>
      <c r="K14" t="s">
        <v>16</v>
      </c>
      <c r="L14" s="14">
        <f>L13*L12</f>
        <v>0</v>
      </c>
    </row>
    <row r="15" spans="2:21" x14ac:dyDescent="0.25">
      <c r="K15" t="s">
        <v>17</v>
      </c>
      <c r="L15" s="14">
        <f>L14+L11+L7</f>
        <v>54392</v>
      </c>
    </row>
    <row r="16" spans="2:21" x14ac:dyDescent="0.25">
      <c r="B16" t="s">
        <v>35</v>
      </c>
      <c r="C16" s="44">
        <v>0</v>
      </c>
      <c r="K16" t="s">
        <v>18</v>
      </c>
      <c r="L16" s="17">
        <f>SalaryCheckHome!C19</f>
        <v>1</v>
      </c>
      <c r="M16" t="s">
        <v>56</v>
      </c>
    </row>
    <row r="17" spans="2:22" x14ac:dyDescent="0.25">
      <c r="B17" t="s">
        <v>58</v>
      </c>
      <c r="C17" s="10">
        <v>192</v>
      </c>
      <c r="K17" t="s">
        <v>19</v>
      </c>
      <c r="L17" s="1">
        <f>SalaryCheckHome!G19</f>
        <v>0</v>
      </c>
      <c r="M17" s="10">
        <f>C17+L17</f>
        <v>192</v>
      </c>
    </row>
    <row r="18" spans="2:22" x14ac:dyDescent="0.25">
      <c r="K18" t="s">
        <v>20</v>
      </c>
      <c r="L18" s="14">
        <f>L15*L16*(M17/C17)</f>
        <v>54392</v>
      </c>
      <c r="M18" s="12">
        <f>L15*L16*(M17/C17)</f>
        <v>54392</v>
      </c>
    </row>
    <row r="19" spans="2:22" x14ac:dyDescent="0.25">
      <c r="L19" s="12"/>
    </row>
    <row r="20" spans="2:22" x14ac:dyDescent="0.25">
      <c r="K20" t="s">
        <v>87</v>
      </c>
      <c r="L20" s="13">
        <f>SalaryCheckHome!C7</f>
        <v>52510</v>
      </c>
    </row>
    <row r="21" spans="2:22" x14ac:dyDescent="0.25">
      <c r="K21" t="s">
        <v>88</v>
      </c>
      <c r="L21" s="13">
        <f>L18</f>
        <v>54392</v>
      </c>
    </row>
    <row r="22" spans="2:22" x14ac:dyDescent="0.25">
      <c r="K22" t="s">
        <v>89</v>
      </c>
      <c r="L22" s="13">
        <f>L20+C16</f>
        <v>52510</v>
      </c>
    </row>
    <row r="23" spans="2:22" x14ac:dyDescent="0.25">
      <c r="K23" t="str">
        <f>L6</f>
        <v>2026-27 Salary</v>
      </c>
      <c r="L23" s="14">
        <f>MAX(L21:L22)</f>
        <v>54392</v>
      </c>
      <c r="M23" s="21">
        <f>(L23/L20)-1</f>
        <v>3.5840792230051433E-2</v>
      </c>
    </row>
    <row r="24" spans="2:22" x14ac:dyDescent="0.25">
      <c r="M24" s="21"/>
    </row>
    <row r="26" spans="2:22" x14ac:dyDescent="0.25">
      <c r="R26" s="10"/>
      <c r="S26" s="46"/>
    </row>
    <row r="27" spans="2:22" ht="60" x14ac:dyDescent="0.25">
      <c r="C27" s="10" t="s">
        <v>4</v>
      </c>
      <c r="D27" s="10" t="s">
        <v>5</v>
      </c>
      <c r="E27" s="10" t="s">
        <v>6</v>
      </c>
      <c r="F27" s="10" t="s">
        <v>7</v>
      </c>
      <c r="L27" s="15" t="str">
        <f>L6</f>
        <v>2026-27 Salary</v>
      </c>
      <c r="M27" s="15" t="s">
        <v>4</v>
      </c>
      <c r="N27" s="15" t="s">
        <v>5</v>
      </c>
      <c r="O27" s="15" t="s">
        <v>6</v>
      </c>
      <c r="P27" s="15" t="s">
        <v>7</v>
      </c>
      <c r="Q27" s="10" t="s">
        <v>9</v>
      </c>
      <c r="R27" s="49" t="s">
        <v>45</v>
      </c>
      <c r="S27" s="50" t="s">
        <v>46</v>
      </c>
      <c r="T27" s="51" t="s">
        <v>47</v>
      </c>
      <c r="U27" s="51" t="s">
        <v>44</v>
      </c>
      <c r="V27" s="51" t="s">
        <v>38</v>
      </c>
    </row>
    <row r="28" spans="2:22" x14ac:dyDescent="0.25">
      <c r="B28" t="s">
        <v>29</v>
      </c>
      <c r="C28" s="43">
        <f>C7</f>
        <v>44550</v>
      </c>
      <c r="D28" s="43">
        <f>D7</f>
        <v>52310</v>
      </c>
      <c r="E28" s="43">
        <f>E7</f>
        <v>63115</v>
      </c>
      <c r="F28" s="43">
        <f>F7</f>
        <v>63115</v>
      </c>
      <c r="K28" t="s">
        <v>13</v>
      </c>
      <c r="L28" s="14">
        <f>MAX(M28:P29)</f>
        <v>52310</v>
      </c>
      <c r="M28" s="12">
        <f>IF(SalaryCheckHome!$C$40="BA",C28,0)</f>
        <v>0</v>
      </c>
      <c r="N28" s="12">
        <f>IF(SalaryCheckHome!$C$40="MA",D28,0)</f>
        <v>52310</v>
      </c>
      <c r="O28" s="12">
        <f>IF(SalaryCheckHome!$C$40="EDSpec",E28,0)</f>
        <v>0</v>
      </c>
      <c r="P28" s="12">
        <f>IF(SalaryCheckHome!$C$40="Doc",F28,0)</f>
        <v>0</v>
      </c>
      <c r="R28"/>
      <c r="S28" s="46"/>
    </row>
    <row r="29" spans="2:22" x14ac:dyDescent="0.25">
      <c r="C29" s="43"/>
      <c r="D29" s="43"/>
      <c r="E29" s="43"/>
      <c r="F29" s="43"/>
      <c r="K29" t="s">
        <v>8</v>
      </c>
      <c r="L29" s="13">
        <f>MAX(M29:P30)</f>
        <v>1041</v>
      </c>
      <c r="M29" s="12">
        <f>IF(SalaryCheckHome!$C$40="BA",C30,0)</f>
        <v>0</v>
      </c>
      <c r="N29" s="12">
        <f>IF(SalaryCheckHome!$C$40="MA",D30,0)</f>
        <v>1041</v>
      </c>
      <c r="O29" s="12">
        <f>IF(SalaryCheckHome!$C$40="EDSpec",E30,0)</f>
        <v>0</v>
      </c>
      <c r="P29" s="12">
        <f>IF(SalaryCheckHome!$C$40="Doc",F30,0)</f>
        <v>0</v>
      </c>
      <c r="R29"/>
      <c r="S29" s="46"/>
    </row>
    <row r="30" spans="2:22" x14ac:dyDescent="0.25">
      <c r="B30" t="s">
        <v>30</v>
      </c>
      <c r="C30" s="43">
        <f t="shared" ref="C30:F32" si="1">C9</f>
        <v>465</v>
      </c>
      <c r="D30" s="43">
        <f t="shared" si="1"/>
        <v>1041</v>
      </c>
      <c r="E30" s="43">
        <f t="shared" si="1"/>
        <v>1061</v>
      </c>
      <c r="F30" s="43">
        <f t="shared" si="1"/>
        <v>1081</v>
      </c>
      <c r="K30" t="s">
        <v>10</v>
      </c>
      <c r="L30" s="1">
        <f>L9</f>
        <v>0</v>
      </c>
      <c r="R30"/>
      <c r="S30" s="46"/>
    </row>
    <row r="31" spans="2:22" x14ac:dyDescent="0.25">
      <c r="B31" t="s">
        <v>31</v>
      </c>
      <c r="C31" s="10">
        <f t="shared" si="1"/>
        <v>8</v>
      </c>
      <c r="D31" s="10">
        <f t="shared" si="1"/>
        <v>17</v>
      </c>
      <c r="E31" s="10">
        <f t="shared" si="1"/>
        <v>17</v>
      </c>
      <c r="F31" s="10">
        <f t="shared" si="1"/>
        <v>17</v>
      </c>
      <c r="K31" t="s">
        <v>11</v>
      </c>
      <c r="L31" s="1">
        <f>L10</f>
        <v>2</v>
      </c>
      <c r="R31"/>
      <c r="S31" s="46"/>
    </row>
    <row r="32" spans="2:22" x14ac:dyDescent="0.25">
      <c r="B32" t="s">
        <v>32</v>
      </c>
      <c r="C32" s="10">
        <f t="shared" si="1"/>
        <v>8</v>
      </c>
      <c r="D32" s="10">
        <f t="shared" si="1"/>
        <v>25</v>
      </c>
      <c r="E32" s="10">
        <f t="shared" si="1"/>
        <v>25</v>
      </c>
      <c r="F32" s="10">
        <f t="shared" si="1"/>
        <v>25</v>
      </c>
      <c r="K32" t="s">
        <v>12</v>
      </c>
      <c r="L32" s="14">
        <f>L29*L31</f>
        <v>2082</v>
      </c>
      <c r="R32"/>
      <c r="S32" s="46"/>
    </row>
    <row r="33" spans="2:22" x14ac:dyDescent="0.25">
      <c r="C33" s="43"/>
      <c r="D33" s="43"/>
      <c r="E33" s="43"/>
      <c r="F33" s="43"/>
      <c r="K33" t="s">
        <v>14</v>
      </c>
      <c r="L33" s="1">
        <f>MIN(Q33:R33)</f>
        <v>0</v>
      </c>
      <c r="M33">
        <f>IF(SalaryCheckHome!$C$40="BA",C35,0)</f>
        <v>0</v>
      </c>
      <c r="N33">
        <f>IF(SalaryCheckHome!$C$40="MA",D35,0)</f>
        <v>39</v>
      </c>
      <c r="O33">
        <f>IF(SalaryCheckHome!$C$40="EDSpec",E35,0)</f>
        <v>0</v>
      </c>
      <c r="P33">
        <f>IF(SalaryCheckHome!$C$40="Doc",F35,0)</f>
        <v>0</v>
      </c>
      <c r="Q33" s="10">
        <f>MAX(M33:P33)</f>
        <v>39</v>
      </c>
      <c r="R33" s="10">
        <f>MAX(Q312,V33)</f>
        <v>0</v>
      </c>
      <c r="S33" s="50">
        <f>SalaryCheckHome!G40</f>
        <v>0</v>
      </c>
      <c r="T33" s="48">
        <f>(S33-R12)</f>
        <v>0</v>
      </c>
      <c r="U33" s="48">
        <f>MIN((T33+R12),(R12+18))</f>
        <v>0</v>
      </c>
      <c r="V33" s="48">
        <f xml:space="preserve"> IF(U33=0,0,IF(U33&gt;=39,39,IF(U33&gt;=36,36,IF(U33=36,36,(IF(U33&gt;=27,27,(IF(U33&gt;=18,18,(IF(U33&gt;=9,9,0))))))))))</f>
        <v>0</v>
      </c>
    </row>
    <row r="34" spans="2:22" x14ac:dyDescent="0.25">
      <c r="B34" t="s">
        <v>33</v>
      </c>
      <c r="C34" s="43">
        <f t="shared" ref="C34:F35" si="2">C13</f>
        <v>195</v>
      </c>
      <c r="D34" s="43">
        <f t="shared" si="2"/>
        <v>290</v>
      </c>
      <c r="E34" s="43">
        <f t="shared" si="2"/>
        <v>290</v>
      </c>
      <c r="F34" s="43">
        <f t="shared" si="2"/>
        <v>290</v>
      </c>
      <c r="K34" t="s">
        <v>15</v>
      </c>
      <c r="L34" s="13">
        <f>MAX(M34:P35)</f>
        <v>290</v>
      </c>
      <c r="M34" s="12">
        <f>IF(SalaryCheckHome!$C$40="BA",C34,0)</f>
        <v>0</v>
      </c>
      <c r="N34" s="12">
        <f>IF(SalaryCheckHome!$C$40="MA",D34,0)</f>
        <v>290</v>
      </c>
      <c r="O34" s="12">
        <f>IF(SalaryCheckHome!$C$40="EDSpec",E34,0)</f>
        <v>0</v>
      </c>
      <c r="P34" s="12">
        <f>IF(SalaryCheckHome!$C$40="Doc",F34,0)</f>
        <v>0</v>
      </c>
      <c r="R34" s="10"/>
      <c r="S34" s="46"/>
    </row>
    <row r="35" spans="2:22" x14ac:dyDescent="0.25">
      <c r="B35" t="s">
        <v>34</v>
      </c>
      <c r="C35" s="10">
        <f t="shared" si="2"/>
        <v>39</v>
      </c>
      <c r="D35" s="10">
        <f t="shared" si="2"/>
        <v>39</v>
      </c>
      <c r="E35" s="10">
        <f t="shared" si="2"/>
        <v>3</v>
      </c>
      <c r="F35" s="10">
        <f t="shared" si="2"/>
        <v>3</v>
      </c>
      <c r="K35" t="s">
        <v>16</v>
      </c>
      <c r="L35" s="14">
        <f>L34*L33</f>
        <v>0</v>
      </c>
      <c r="R35" s="10"/>
      <c r="S35" s="46"/>
    </row>
    <row r="36" spans="2:22" x14ac:dyDescent="0.25">
      <c r="C36" s="43"/>
      <c r="D36" s="43"/>
      <c r="E36" s="43"/>
      <c r="F36" s="43"/>
      <c r="K36" t="s">
        <v>17</v>
      </c>
      <c r="L36" s="14">
        <f>L35+L32+L28</f>
        <v>54392</v>
      </c>
      <c r="R36" s="10"/>
      <c r="S36" s="46"/>
    </row>
    <row r="37" spans="2:22" x14ac:dyDescent="0.25">
      <c r="B37" t="s">
        <v>35</v>
      </c>
      <c r="C37" s="43">
        <f>C16</f>
        <v>0</v>
      </c>
      <c r="D37" s="43">
        <f>D16</f>
        <v>0</v>
      </c>
      <c r="E37" s="43">
        <f>E16</f>
        <v>0</v>
      </c>
      <c r="F37" s="43">
        <f>F16</f>
        <v>0</v>
      </c>
      <c r="K37" t="s">
        <v>18</v>
      </c>
      <c r="L37" s="17">
        <f>L16</f>
        <v>1</v>
      </c>
      <c r="R37" s="10"/>
      <c r="S37" s="46"/>
    </row>
    <row r="38" spans="2:22" x14ac:dyDescent="0.25">
      <c r="K38" t="s">
        <v>19</v>
      </c>
      <c r="L38" s="1">
        <f>L17</f>
        <v>0</v>
      </c>
      <c r="R38" s="10"/>
      <c r="S38" s="46"/>
    </row>
    <row r="39" spans="2:22" x14ac:dyDescent="0.25">
      <c r="K39" t="s">
        <v>20</v>
      </c>
      <c r="L39" s="14">
        <f>(L36*L37)+((L36/194)*L38)</f>
        <v>54392</v>
      </c>
      <c r="R39" s="10"/>
      <c r="S39" s="46"/>
    </row>
    <row r="40" spans="2:22" x14ac:dyDescent="0.25">
      <c r="L40" s="12"/>
      <c r="R40" s="10"/>
      <c r="S40" s="46"/>
    </row>
    <row r="41" spans="2:22" x14ac:dyDescent="0.25">
      <c r="L41" s="13"/>
      <c r="R41" s="10"/>
      <c r="S41" s="46"/>
    </row>
    <row r="42" spans="2:22" x14ac:dyDescent="0.25">
      <c r="L42" s="13"/>
      <c r="R42" s="10"/>
      <c r="S42" s="46"/>
    </row>
    <row r="43" spans="2:22" x14ac:dyDescent="0.25">
      <c r="L43" s="13"/>
      <c r="R43" s="10"/>
      <c r="S43" s="46"/>
    </row>
    <row r="44" spans="2:22" x14ac:dyDescent="0.25">
      <c r="K44" t="s">
        <v>55</v>
      </c>
      <c r="L44" s="14">
        <f>MAX(L39,L23)</f>
        <v>54392</v>
      </c>
      <c r="M44" s="21">
        <f>(L44/L23)-1</f>
        <v>0</v>
      </c>
      <c r="R44" s="10"/>
      <c r="S44" s="46"/>
    </row>
    <row r="45" spans="2:22" x14ac:dyDescent="0.25">
      <c r="R45" s="10"/>
      <c r="S45" s="46"/>
    </row>
    <row r="46" spans="2:22" x14ac:dyDescent="0.25">
      <c r="R46" s="10"/>
      <c r="S46" s="46"/>
    </row>
    <row r="47" spans="2:22" x14ac:dyDescent="0.25">
      <c r="R47" s="10"/>
      <c r="S47" s="46"/>
    </row>
    <row r="48" spans="2:22" x14ac:dyDescent="0.25">
      <c r="R48" s="10"/>
      <c r="S48" s="46"/>
    </row>
    <row r="49" spans="18:19" x14ac:dyDescent="0.25">
      <c r="R49" s="10"/>
      <c r="S49" s="46"/>
    </row>
    <row r="50" spans="18:19" x14ac:dyDescent="0.25">
      <c r="R50" s="10"/>
      <c r="S50" s="46"/>
    </row>
    <row r="51" spans="18:19" x14ac:dyDescent="0.25">
      <c r="R51" s="10"/>
      <c r="S51" s="46"/>
    </row>
    <row r="52" spans="18:19" x14ac:dyDescent="0.25">
      <c r="R52" s="10"/>
      <c r="S52" s="46"/>
    </row>
    <row r="53" spans="18:19" x14ac:dyDescent="0.25">
      <c r="R53" s="10"/>
      <c r="S53" s="46"/>
    </row>
  </sheetData>
  <sheetProtection algorithmName="SHA-512" hashValue="S3Yzkhse+4Zu/NBVFCmuQTIU0GzU2DOYBuizEuQHzbG5qsVIgngqE111Cya5bOlnx+kH5tmHtO6qWGOBHkVA5g==" saltValue="CLC1C3EGbDNwobc4JjQ0Mw==" spinCount="100000" sheet="1" selectLockedCells="1" selectUnlockedCells="1"/>
  <mergeCells count="1">
    <mergeCell ref="B4:F4"/>
  </mergeCells>
  <pageMargins left="0.7" right="0.7" top="0.75" bottom="0.75" header="0.3" footer="0.3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EF714A-0E4D-45B5-9373-6658767E2A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SalaryCheckHome</vt:lpstr>
      <vt:lpstr>FORMULA</vt:lpstr>
      <vt:lpstr>Sheet1</vt:lpstr>
      <vt:lpstr>Sheet2</vt:lpstr>
      <vt:lpstr>Sheet3</vt:lpstr>
      <vt:lpstr>Sheet4</vt:lpstr>
      <vt:lpstr>Sheet5</vt:lpstr>
      <vt:lpstr>Degree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2013-06-13T14:12:02Z</dcterms:created>
  <dcterms:modified xsi:type="dcterms:W3CDTF">2026-02-25T18:45:42Z</dcterms:modified>
</cp:coreProperties>
</file>